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75" yWindow="825" windowWidth="24240" windowHeight="13140" tabRatio="783" firstSheet="2" activeTab="2"/>
  </bookViews>
  <sheets>
    <sheet name="فرم شماره 1  " sheetId="31" r:id="rId1"/>
    <sheet name="روکش گروه و فصول منابع و مصارف " sheetId="20" r:id="rId2"/>
    <sheet name="هزینه ها" sheetId="18" r:id="rId3"/>
    <sheet name="درآمدها " sheetId="32" r:id="rId4"/>
    <sheet name="دارایی سرمایه ای" sheetId="26" r:id="rId5"/>
    <sheet name="دارایی مالی" sheetId="28" r:id="rId6"/>
  </sheets>
  <definedNames>
    <definedName name="_xlnm._FilterDatabase" localSheetId="4" hidden="1">'دارایی سرمایه ای'!$A$7:$V$54</definedName>
    <definedName name="_xlnm._FilterDatabase" localSheetId="5" hidden="1">'دارایی مالی'!$A$7:$T$121</definedName>
    <definedName name="_xlnm._FilterDatabase" localSheetId="3" hidden="1">'درآمدها '!$A$7:$V$169</definedName>
    <definedName name="_xlnm._FilterDatabase" localSheetId="2" hidden="1">'هزینه ها'!$A$7:$V$271</definedName>
    <definedName name="_xlnm.Print_Area" localSheetId="4">'دارایی سرمایه ای'!$A$1:$V$54</definedName>
    <definedName name="_xlnm.Print_Area" localSheetId="5">'دارایی مالی'!$A$1:$T$121</definedName>
    <definedName name="_xlnm.Print_Area" localSheetId="1">'روکش گروه و فصول منابع و مصارف '!$B$2:$F$82</definedName>
    <definedName name="_xlnm.Print_Area" localSheetId="0">'فرم شماره 1  '!$A$1:$BR$16</definedName>
    <definedName name="_xlnm.Print_Area" localSheetId="2">'هزینه ها'!$A$1:$V$271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21" i="28" l="1"/>
  <c r="Q121" i="28"/>
  <c r="P121" i="28"/>
  <c r="O121" i="28"/>
  <c r="N121" i="28"/>
  <c r="M121" i="28"/>
  <c r="L121" i="28"/>
  <c r="K121" i="28"/>
  <c r="J121" i="28"/>
  <c r="I121" i="28"/>
  <c r="H121" i="28"/>
  <c r="G121" i="28"/>
  <c r="F121" i="28"/>
  <c r="E121" i="28"/>
  <c r="T25" i="28"/>
  <c r="S25" i="28"/>
  <c r="T24" i="28"/>
  <c r="S24" i="28"/>
  <c r="T23" i="28"/>
  <c r="S23" i="28"/>
  <c r="T22" i="28"/>
  <c r="S22" i="28"/>
  <c r="T21" i="28"/>
  <c r="S21" i="28"/>
  <c r="T20" i="28"/>
  <c r="S20" i="28"/>
  <c r="T19" i="28"/>
  <c r="S19" i="28"/>
  <c r="T18" i="28"/>
  <c r="S18" i="28"/>
  <c r="T17" i="28"/>
  <c r="S17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T121" i="28" s="1"/>
  <c r="S8" i="28"/>
  <c r="S121" i="28" s="1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V53" i="26"/>
  <c r="U53" i="26"/>
  <c r="V52" i="26"/>
  <c r="U52" i="26"/>
  <c r="V51" i="26"/>
  <c r="U51" i="26"/>
  <c r="V50" i="26"/>
  <c r="U50" i="26"/>
  <c r="V49" i="26"/>
  <c r="U49" i="26"/>
  <c r="V48" i="26"/>
  <c r="U48" i="26"/>
  <c r="V47" i="26"/>
  <c r="U47" i="26"/>
  <c r="V46" i="26"/>
  <c r="U46" i="26"/>
  <c r="V45" i="26"/>
  <c r="U45" i="26"/>
  <c r="V44" i="26"/>
  <c r="U44" i="26"/>
  <c r="V43" i="26"/>
  <c r="U43" i="26"/>
  <c r="V42" i="26"/>
  <c r="U42" i="26"/>
  <c r="V41" i="26"/>
  <c r="U41" i="26"/>
  <c r="V40" i="26"/>
  <c r="U40" i="26"/>
  <c r="V39" i="26"/>
  <c r="U39" i="26"/>
  <c r="V38" i="26"/>
  <c r="U38" i="26"/>
  <c r="V37" i="26"/>
  <c r="U37" i="26"/>
  <c r="V36" i="26"/>
  <c r="U36" i="26"/>
  <c r="V35" i="26"/>
  <c r="U35" i="26"/>
  <c r="V34" i="26"/>
  <c r="U34" i="26"/>
  <c r="V33" i="26"/>
  <c r="U33" i="26"/>
  <c r="V32" i="26"/>
  <c r="U32" i="26"/>
  <c r="V31" i="26"/>
  <c r="U31" i="26"/>
  <c r="V30" i="26"/>
  <c r="U30" i="26"/>
  <c r="V29" i="26"/>
  <c r="U29" i="26"/>
  <c r="V28" i="26"/>
  <c r="U28" i="26"/>
  <c r="V27" i="26"/>
  <c r="U27" i="26"/>
  <c r="V26" i="26"/>
  <c r="U26" i="26"/>
  <c r="V25" i="26"/>
  <c r="U25" i="26"/>
  <c r="V24" i="26"/>
  <c r="U24" i="26"/>
  <c r="V23" i="26"/>
  <c r="U23" i="26"/>
  <c r="V22" i="26"/>
  <c r="U22" i="26"/>
  <c r="V21" i="26"/>
  <c r="U21" i="26"/>
  <c r="V20" i="26"/>
  <c r="U20" i="26"/>
  <c r="V19" i="26"/>
  <c r="U19" i="26"/>
  <c r="V18" i="26"/>
  <c r="U18" i="26"/>
  <c r="V17" i="26"/>
  <c r="U17" i="26"/>
  <c r="V16" i="26"/>
  <c r="U16" i="26"/>
  <c r="V15" i="26"/>
  <c r="U15" i="26"/>
  <c r="V14" i="26"/>
  <c r="U14" i="26"/>
  <c r="V13" i="26"/>
  <c r="U13" i="26"/>
  <c r="V12" i="26"/>
  <c r="U12" i="26"/>
  <c r="V11" i="26"/>
  <c r="U11" i="26"/>
  <c r="V10" i="26"/>
  <c r="U10" i="26"/>
  <c r="U54" i="26" s="1"/>
  <c r="E52" i="20" s="1"/>
  <c r="E51" i="20" s="1"/>
  <c r="D5" i="20" s="1"/>
  <c r="V9" i="26"/>
  <c r="U9" i="26"/>
  <c r="V8" i="26"/>
  <c r="V54" i="26" s="1"/>
  <c r="U8" i="26"/>
  <c r="L169" i="32"/>
  <c r="J169" i="32"/>
  <c r="I169" i="32"/>
  <c r="H169" i="32"/>
  <c r="V168" i="32"/>
  <c r="U168" i="32"/>
  <c r="V167" i="32"/>
  <c r="U167" i="32"/>
  <c r="V166" i="32"/>
  <c r="U166" i="32"/>
  <c r="V165" i="32"/>
  <c r="U165" i="32"/>
  <c r="V164" i="32"/>
  <c r="U164" i="32"/>
  <c r="V163" i="32"/>
  <c r="U163" i="32"/>
  <c r="V162" i="32"/>
  <c r="U162" i="32"/>
  <c r="V161" i="32"/>
  <c r="U161" i="32"/>
  <c r="V160" i="32"/>
  <c r="U160" i="32"/>
  <c r="V159" i="32"/>
  <c r="U159" i="32"/>
  <c r="V158" i="32"/>
  <c r="U158" i="32"/>
  <c r="V157" i="32"/>
  <c r="U157" i="32"/>
  <c r="V154" i="32"/>
  <c r="U154" i="32"/>
  <c r="V153" i="32"/>
  <c r="U153" i="32"/>
  <c r="V152" i="32"/>
  <c r="U152" i="32"/>
  <c r="V151" i="32"/>
  <c r="U151" i="32"/>
  <c r="V150" i="32"/>
  <c r="U150" i="32"/>
  <c r="V149" i="32"/>
  <c r="U149" i="32"/>
  <c r="V148" i="32"/>
  <c r="U148" i="32"/>
  <c r="V147" i="32"/>
  <c r="U147" i="32"/>
  <c r="V146" i="32"/>
  <c r="U146" i="32"/>
  <c r="V145" i="32"/>
  <c r="U145" i="32"/>
  <c r="V144" i="32"/>
  <c r="U144" i="32"/>
  <c r="V143" i="32"/>
  <c r="U143" i="32"/>
  <c r="V142" i="32"/>
  <c r="U142" i="32"/>
  <c r="V141" i="32"/>
  <c r="U141" i="32"/>
  <c r="V140" i="32"/>
  <c r="U140" i="32"/>
  <c r="V139" i="32"/>
  <c r="U139" i="32"/>
  <c r="V138" i="32"/>
  <c r="U138" i="32"/>
  <c r="V137" i="32"/>
  <c r="U137" i="32"/>
  <c r="V136" i="32"/>
  <c r="U136" i="32"/>
  <c r="V135" i="32"/>
  <c r="U135" i="32"/>
  <c r="V134" i="32"/>
  <c r="U134" i="32"/>
  <c r="V133" i="32"/>
  <c r="U133" i="32"/>
  <c r="V132" i="32"/>
  <c r="U132" i="32"/>
  <c r="V131" i="32"/>
  <c r="U131" i="32"/>
  <c r="V130" i="32"/>
  <c r="U130" i="32"/>
  <c r="V129" i="32"/>
  <c r="U129" i="32"/>
  <c r="V128" i="32"/>
  <c r="U128" i="32"/>
  <c r="V127" i="32"/>
  <c r="U127" i="32"/>
  <c r="V126" i="32"/>
  <c r="U126" i="32"/>
  <c r="V125" i="32"/>
  <c r="U125" i="32"/>
  <c r="V124" i="32"/>
  <c r="U124" i="32"/>
  <c r="V123" i="32"/>
  <c r="U123" i="32"/>
  <c r="V122" i="32"/>
  <c r="U122" i="32"/>
  <c r="V121" i="32"/>
  <c r="U121" i="32"/>
  <c r="V120" i="32"/>
  <c r="U120" i="32"/>
  <c r="V119" i="32"/>
  <c r="U119" i="32"/>
  <c r="V118" i="32"/>
  <c r="U118" i="32"/>
  <c r="V117" i="32"/>
  <c r="U117" i="32"/>
  <c r="V116" i="32"/>
  <c r="U116" i="32"/>
  <c r="V113" i="32"/>
  <c r="U113" i="32"/>
  <c r="V112" i="32"/>
  <c r="U112" i="32"/>
  <c r="V111" i="32"/>
  <c r="U111" i="32"/>
  <c r="V110" i="32"/>
  <c r="U110" i="32"/>
  <c r="V109" i="32"/>
  <c r="U109" i="32"/>
  <c r="V108" i="32"/>
  <c r="U108" i="32"/>
  <c r="V107" i="32"/>
  <c r="U107" i="32"/>
  <c r="V106" i="32"/>
  <c r="U106" i="32"/>
  <c r="V105" i="32"/>
  <c r="U105" i="32"/>
  <c r="V104" i="32"/>
  <c r="U104" i="32"/>
  <c r="V103" i="32"/>
  <c r="U103" i="32"/>
  <c r="V102" i="32"/>
  <c r="U102" i="32"/>
  <c r="V101" i="32"/>
  <c r="U101" i="32"/>
  <c r="V100" i="32"/>
  <c r="U100" i="32"/>
  <c r="V99" i="32"/>
  <c r="U99" i="32"/>
  <c r="V98" i="32"/>
  <c r="U98" i="32"/>
  <c r="V97" i="32"/>
  <c r="U97" i="32"/>
  <c r="V96" i="32"/>
  <c r="U96" i="32"/>
  <c r="V95" i="32"/>
  <c r="U95" i="32"/>
  <c r="V92" i="32"/>
  <c r="U92" i="32"/>
  <c r="V89" i="32"/>
  <c r="U89" i="32"/>
  <c r="V86" i="32"/>
  <c r="U86" i="32"/>
  <c r="V85" i="32"/>
  <c r="M85" i="32"/>
  <c r="U85" i="32" s="1"/>
  <c r="K85" i="32"/>
  <c r="I85" i="32"/>
  <c r="G85" i="32"/>
  <c r="E85" i="32"/>
  <c r="V84" i="32"/>
  <c r="M84" i="32"/>
  <c r="U84" i="32" s="1"/>
  <c r="K84" i="32"/>
  <c r="K169" i="32" s="1"/>
  <c r="I84" i="32"/>
  <c r="G84" i="32"/>
  <c r="G169" i="32" s="1"/>
  <c r="E84" i="32"/>
  <c r="E169" i="32" s="1"/>
  <c r="V83" i="32"/>
  <c r="U83" i="32"/>
  <c r="F83" i="32"/>
  <c r="F169" i="32" s="1"/>
  <c r="V80" i="32"/>
  <c r="U80" i="32"/>
  <c r="V79" i="32"/>
  <c r="U79" i="32"/>
  <c r="V76" i="32"/>
  <c r="U76" i="32"/>
  <c r="V75" i="32"/>
  <c r="U75" i="32"/>
  <c r="V72" i="32"/>
  <c r="U72" i="32"/>
  <c r="V71" i="32"/>
  <c r="U71" i="32"/>
  <c r="V70" i="32"/>
  <c r="U70" i="32"/>
  <c r="V67" i="32"/>
  <c r="U67" i="32"/>
  <c r="V66" i="32"/>
  <c r="U66" i="32"/>
  <c r="V65" i="32"/>
  <c r="U65" i="32"/>
  <c r="V64" i="32"/>
  <c r="U64" i="32"/>
  <c r="V63" i="32"/>
  <c r="U63" i="32"/>
  <c r="V62" i="32"/>
  <c r="U62" i="32"/>
  <c r="V61" i="32"/>
  <c r="U61" i="32"/>
  <c r="V60" i="32"/>
  <c r="U60" i="32"/>
  <c r="V59" i="32"/>
  <c r="U59" i="32"/>
  <c r="V58" i="32"/>
  <c r="U58" i="32"/>
  <c r="V57" i="32"/>
  <c r="U57" i="32"/>
  <c r="V56" i="32"/>
  <c r="U56" i="32"/>
  <c r="V55" i="32"/>
  <c r="U55" i="32"/>
  <c r="V54" i="32"/>
  <c r="U54" i="32"/>
  <c r="V53" i="32"/>
  <c r="U53" i="32"/>
  <c r="V52" i="32"/>
  <c r="U52" i="32"/>
  <c r="V51" i="32"/>
  <c r="U51" i="32"/>
  <c r="V50" i="32"/>
  <c r="U50" i="32"/>
  <c r="V49" i="32"/>
  <c r="U49" i="32"/>
  <c r="V48" i="32"/>
  <c r="U48" i="32"/>
  <c r="V47" i="32"/>
  <c r="U47" i="32"/>
  <c r="V46" i="32"/>
  <c r="U46" i="32"/>
  <c r="V45" i="32"/>
  <c r="U45" i="32"/>
  <c r="V44" i="32"/>
  <c r="U44" i="32"/>
  <c r="V43" i="32"/>
  <c r="U43" i="32"/>
  <c r="V42" i="32"/>
  <c r="U42" i="32"/>
  <c r="V39" i="32"/>
  <c r="U39" i="32"/>
  <c r="V38" i="32"/>
  <c r="U38" i="32"/>
  <c r="V37" i="32"/>
  <c r="U37" i="32"/>
  <c r="V36" i="32"/>
  <c r="U36" i="32"/>
  <c r="V35" i="32"/>
  <c r="U35" i="32"/>
  <c r="V34" i="32"/>
  <c r="U34" i="32"/>
  <c r="V33" i="32"/>
  <c r="U33" i="32"/>
  <c r="V32" i="32"/>
  <c r="U32" i="32"/>
  <c r="V31" i="32"/>
  <c r="U31" i="32"/>
  <c r="V30" i="32"/>
  <c r="U30" i="32"/>
  <c r="V29" i="32"/>
  <c r="U29" i="32"/>
  <c r="V28" i="32"/>
  <c r="U28" i="32"/>
  <c r="V27" i="32"/>
  <c r="U27" i="32"/>
  <c r="V26" i="32"/>
  <c r="U26" i="32"/>
  <c r="V23" i="32"/>
  <c r="U23" i="32"/>
  <c r="V20" i="32"/>
  <c r="U20" i="32"/>
  <c r="V19" i="32"/>
  <c r="U19" i="32"/>
  <c r="V18" i="32"/>
  <c r="U18" i="32"/>
  <c r="V17" i="32"/>
  <c r="U17" i="32"/>
  <c r="V16" i="32"/>
  <c r="U16" i="32"/>
  <c r="V15" i="32"/>
  <c r="U15" i="32"/>
  <c r="V14" i="32"/>
  <c r="U14" i="32"/>
  <c r="V13" i="32"/>
  <c r="U13" i="32"/>
  <c r="V12" i="32"/>
  <c r="U12" i="32"/>
  <c r="V11" i="32"/>
  <c r="U11" i="32"/>
  <c r="V10" i="32"/>
  <c r="U10" i="32"/>
  <c r="V9" i="32"/>
  <c r="U9" i="32"/>
  <c r="V8" i="32"/>
  <c r="V169" i="32" s="1"/>
  <c r="U8" i="32"/>
  <c r="T276" i="18"/>
  <c r="P276" i="18"/>
  <c r="N276" i="18"/>
  <c r="L276" i="18"/>
  <c r="H276" i="18"/>
  <c r="F276" i="18"/>
  <c r="V275" i="18"/>
  <c r="Q275" i="18"/>
  <c r="M275" i="18"/>
  <c r="U275" i="18" s="1"/>
  <c r="K275" i="18"/>
  <c r="I275" i="18"/>
  <c r="G275" i="18"/>
  <c r="E275" i="18"/>
  <c r="V274" i="18"/>
  <c r="Q274" i="18"/>
  <c r="M274" i="18"/>
  <c r="U274" i="18" s="1"/>
  <c r="K274" i="18"/>
  <c r="I274" i="18"/>
  <c r="G274" i="18"/>
  <c r="V273" i="18"/>
  <c r="Q273" i="18"/>
  <c r="M273" i="18"/>
  <c r="U273" i="18" s="1"/>
  <c r="W275" i="18" s="1"/>
  <c r="K273" i="18"/>
  <c r="I273" i="18"/>
  <c r="G273" i="18"/>
  <c r="T271" i="18"/>
  <c r="R271" i="18"/>
  <c r="R276" i="18" s="1"/>
  <c r="P271" i="18"/>
  <c r="N271" i="18"/>
  <c r="L271" i="18"/>
  <c r="J271" i="18"/>
  <c r="J276" i="18" s="1"/>
  <c r="H271" i="18"/>
  <c r="F271" i="18"/>
  <c r="V270" i="18"/>
  <c r="U270" i="18"/>
  <c r="V269" i="18"/>
  <c r="U269" i="18"/>
  <c r="V268" i="18"/>
  <c r="U268" i="18"/>
  <c r="V267" i="18"/>
  <c r="U267" i="18"/>
  <c r="V266" i="18"/>
  <c r="U266" i="18"/>
  <c r="V265" i="18"/>
  <c r="U265" i="18"/>
  <c r="V264" i="18"/>
  <c r="U264" i="18"/>
  <c r="V263" i="18"/>
  <c r="U263" i="18"/>
  <c r="V262" i="18"/>
  <c r="U262" i="18"/>
  <c r="V261" i="18"/>
  <c r="U261" i="18"/>
  <c r="V260" i="18"/>
  <c r="U260" i="18"/>
  <c r="V259" i="18"/>
  <c r="U259" i="18"/>
  <c r="V258" i="18"/>
  <c r="U258" i="18"/>
  <c r="V257" i="18"/>
  <c r="U257" i="18"/>
  <c r="V256" i="18"/>
  <c r="U256" i="18"/>
  <c r="V255" i="18"/>
  <c r="U255" i="18"/>
  <c r="V254" i="18"/>
  <c r="U254" i="18"/>
  <c r="V253" i="18"/>
  <c r="U253" i="18"/>
  <c r="V252" i="18"/>
  <c r="S252" i="18"/>
  <c r="U252" i="18" s="1"/>
  <c r="V251" i="18"/>
  <c r="U251" i="18"/>
  <c r="V250" i="18"/>
  <c r="U250" i="18"/>
  <c r="V249" i="18"/>
  <c r="U249" i="18"/>
  <c r="V248" i="18"/>
  <c r="U248" i="18"/>
  <c r="V247" i="18"/>
  <c r="U247" i="18"/>
  <c r="V246" i="18"/>
  <c r="U246" i="18"/>
  <c r="V245" i="18"/>
  <c r="U245" i="18"/>
  <c r="V244" i="18"/>
  <c r="U244" i="18"/>
  <c r="V243" i="18"/>
  <c r="U243" i="18"/>
  <c r="V242" i="18"/>
  <c r="U242" i="18"/>
  <c r="V241" i="18"/>
  <c r="U241" i="18"/>
  <c r="V240" i="18"/>
  <c r="U240" i="18"/>
  <c r="V239" i="18"/>
  <c r="U239" i="18"/>
  <c r="V238" i="18"/>
  <c r="U238" i="18"/>
  <c r="V237" i="18"/>
  <c r="U237" i="18"/>
  <c r="V236" i="18"/>
  <c r="U236" i="18"/>
  <c r="V235" i="18"/>
  <c r="U235" i="18"/>
  <c r="V234" i="18"/>
  <c r="S234" i="18"/>
  <c r="Q234" i="18"/>
  <c r="O234" i="18"/>
  <c r="M234" i="18"/>
  <c r="U234" i="18" s="1"/>
  <c r="V233" i="18"/>
  <c r="S233" i="18"/>
  <c r="Q233" i="18"/>
  <c r="O233" i="18"/>
  <c r="M233" i="18"/>
  <c r="U233" i="18" s="1"/>
  <c r="W252" i="18" s="1"/>
  <c r="E44" i="20" s="1"/>
  <c r="V232" i="18"/>
  <c r="U232" i="18"/>
  <c r="V231" i="18"/>
  <c r="U231" i="18"/>
  <c r="V230" i="18"/>
  <c r="U230" i="18"/>
  <c r="V229" i="18"/>
  <c r="U229" i="18"/>
  <c r="V228" i="18"/>
  <c r="U228" i="18"/>
  <c r="V227" i="18"/>
  <c r="U227" i="18"/>
  <c r="V226" i="18"/>
  <c r="U226" i="18"/>
  <c r="V225" i="18"/>
  <c r="U225" i="18"/>
  <c r="V224" i="18"/>
  <c r="U224" i="18"/>
  <c r="V223" i="18"/>
  <c r="U223" i="18"/>
  <c r="V222" i="18"/>
  <c r="U222" i="18"/>
  <c r="V221" i="18"/>
  <c r="U221" i="18"/>
  <c r="V220" i="18"/>
  <c r="U220" i="18"/>
  <c r="V219" i="18"/>
  <c r="U219" i="18"/>
  <c r="V218" i="18"/>
  <c r="U218" i="18"/>
  <c r="V217" i="18"/>
  <c r="U217" i="18"/>
  <c r="V216" i="18"/>
  <c r="U216" i="18"/>
  <c r="V215" i="18"/>
  <c r="U215" i="18"/>
  <c r="V214" i="18"/>
  <c r="U214" i="18"/>
  <c r="V213" i="18"/>
  <c r="U213" i="18"/>
  <c r="V212" i="18"/>
  <c r="U212" i="18"/>
  <c r="V211" i="18"/>
  <c r="U211" i="18"/>
  <c r="V210" i="18"/>
  <c r="U210" i="18"/>
  <c r="V209" i="18"/>
  <c r="U209" i="18"/>
  <c r="V208" i="18"/>
  <c r="U208" i="18"/>
  <c r="V207" i="18"/>
  <c r="U207" i="18"/>
  <c r="V206" i="18"/>
  <c r="U206" i="18"/>
  <c r="V205" i="18"/>
  <c r="U205" i="18"/>
  <c r="V204" i="18"/>
  <c r="U204" i="18"/>
  <c r="V203" i="18"/>
  <c r="U203" i="18"/>
  <c r="V202" i="18"/>
  <c r="U202" i="18"/>
  <c r="V201" i="18"/>
  <c r="S201" i="18"/>
  <c r="Q201" i="18"/>
  <c r="O201" i="18"/>
  <c r="M201" i="18"/>
  <c r="U201" i="18" s="1"/>
  <c r="V200" i="18"/>
  <c r="S200" i="18"/>
  <c r="Q200" i="18"/>
  <c r="O200" i="18"/>
  <c r="M200" i="18"/>
  <c r="U200" i="18" s="1"/>
  <c r="V199" i="18"/>
  <c r="U199" i="18"/>
  <c r="V198" i="18"/>
  <c r="U198" i="18"/>
  <c r="V197" i="18"/>
  <c r="U197" i="18"/>
  <c r="V196" i="18"/>
  <c r="U196" i="18"/>
  <c r="V195" i="18"/>
  <c r="U195" i="18"/>
  <c r="S195" i="18"/>
  <c r="Q195" i="18"/>
  <c r="O195" i="18"/>
  <c r="M195" i="18"/>
  <c r="V194" i="18"/>
  <c r="U194" i="18"/>
  <c r="V193" i="18"/>
  <c r="U193" i="18"/>
  <c r="V192" i="18"/>
  <c r="S192" i="18"/>
  <c r="Q192" i="18"/>
  <c r="O192" i="18"/>
  <c r="M192" i="18"/>
  <c r="U192" i="18" s="1"/>
  <c r="V191" i="18"/>
  <c r="U191" i="18"/>
  <c r="S191" i="18"/>
  <c r="Q191" i="18"/>
  <c r="O191" i="18"/>
  <c r="M191" i="18"/>
  <c r="V190" i="18"/>
  <c r="S190" i="18"/>
  <c r="Q190" i="18"/>
  <c r="O190" i="18"/>
  <c r="U190" i="18" s="1"/>
  <c r="M190" i="18"/>
  <c r="V189" i="18"/>
  <c r="S189" i="18"/>
  <c r="Q189" i="18"/>
  <c r="O189" i="18"/>
  <c r="M189" i="18"/>
  <c r="U189" i="18" s="1"/>
  <c r="V188" i="18"/>
  <c r="V187" i="18"/>
  <c r="U187" i="18"/>
  <c r="V186" i="18"/>
  <c r="U186" i="18"/>
  <c r="V185" i="18"/>
  <c r="U185" i="18"/>
  <c r="E185" i="18"/>
  <c r="V184" i="18"/>
  <c r="U184" i="18"/>
  <c r="V183" i="18"/>
  <c r="U183" i="18"/>
  <c r="V182" i="18"/>
  <c r="U182" i="18"/>
  <c r="V181" i="18"/>
  <c r="U181" i="18"/>
  <c r="V180" i="18"/>
  <c r="U180" i="18"/>
  <c r="V179" i="18"/>
  <c r="S179" i="18"/>
  <c r="Q179" i="18"/>
  <c r="O179" i="18"/>
  <c r="M179" i="18"/>
  <c r="U179" i="18" s="1"/>
  <c r="V178" i="18"/>
  <c r="S178" i="18"/>
  <c r="Q178" i="18"/>
  <c r="O178" i="18"/>
  <c r="M178" i="18"/>
  <c r="U178" i="18" s="1"/>
  <c r="V177" i="18"/>
  <c r="U177" i="18"/>
  <c r="E177" i="18"/>
  <c r="V176" i="18"/>
  <c r="U176" i="18"/>
  <c r="V175" i="18"/>
  <c r="U175" i="18"/>
  <c r="V174" i="18"/>
  <c r="U174" i="18"/>
  <c r="V173" i="18"/>
  <c r="U173" i="18"/>
  <c r="V172" i="18"/>
  <c r="U172" i="18"/>
  <c r="V171" i="18"/>
  <c r="U171" i="18"/>
  <c r="V170" i="18"/>
  <c r="U170" i="18"/>
  <c r="V169" i="18"/>
  <c r="U169" i="18"/>
  <c r="V168" i="18"/>
  <c r="U168" i="18"/>
  <c r="V167" i="18"/>
  <c r="U167" i="18"/>
  <c r="V166" i="18"/>
  <c r="U166" i="18"/>
  <c r="S166" i="18"/>
  <c r="Q166" i="18"/>
  <c r="O166" i="18"/>
  <c r="M166" i="18"/>
  <c r="V165" i="18"/>
  <c r="U165" i="18"/>
  <c r="V164" i="18"/>
  <c r="U164" i="18"/>
  <c r="V163" i="18"/>
  <c r="U163" i="18"/>
  <c r="V162" i="18"/>
  <c r="U162" i="18"/>
  <c r="V161" i="18"/>
  <c r="U161" i="18"/>
  <c r="V160" i="18"/>
  <c r="U160" i="18"/>
  <c r="V159" i="18"/>
  <c r="U159" i="18"/>
  <c r="V158" i="18"/>
  <c r="U158" i="18"/>
  <c r="V157" i="18"/>
  <c r="U157" i="18"/>
  <c r="V156" i="18"/>
  <c r="U156" i="18"/>
  <c r="V155" i="18"/>
  <c r="U155" i="18"/>
  <c r="V154" i="18"/>
  <c r="U154" i="18"/>
  <c r="V153" i="18"/>
  <c r="U153" i="18"/>
  <c r="V152" i="18"/>
  <c r="U152" i="18"/>
  <c r="V151" i="18"/>
  <c r="U151" i="18"/>
  <c r="V150" i="18"/>
  <c r="U150" i="18"/>
  <c r="V149" i="18"/>
  <c r="S149" i="18"/>
  <c r="Q149" i="18"/>
  <c r="O149" i="18"/>
  <c r="U149" i="18" s="1"/>
  <c r="M149" i="18"/>
  <c r="V148" i="18"/>
  <c r="U148" i="18"/>
  <c r="V147" i="18"/>
  <c r="U147" i="18"/>
  <c r="V146" i="18"/>
  <c r="U146" i="18"/>
  <c r="V145" i="18"/>
  <c r="U145" i="18"/>
  <c r="V144" i="18"/>
  <c r="U144" i="18"/>
  <c r="V143" i="18"/>
  <c r="U143" i="18"/>
  <c r="K143" i="18"/>
  <c r="I143" i="18"/>
  <c r="G143" i="18"/>
  <c r="V142" i="18"/>
  <c r="U142" i="18"/>
  <c r="V141" i="18"/>
  <c r="U141" i="18"/>
  <c r="Q141" i="18"/>
  <c r="M141" i="18"/>
  <c r="K141" i="18"/>
  <c r="I141" i="18"/>
  <c r="G141" i="18"/>
  <c r="E141" i="18"/>
  <c r="V140" i="18"/>
  <c r="U140" i="18"/>
  <c r="V139" i="18"/>
  <c r="Q139" i="18"/>
  <c r="U139" i="18" s="1"/>
  <c r="M139" i="18"/>
  <c r="K139" i="18"/>
  <c r="I139" i="18"/>
  <c r="G139" i="18"/>
  <c r="V138" i="18"/>
  <c r="U138" i="18"/>
  <c r="V137" i="18"/>
  <c r="U137" i="18"/>
  <c r="V136" i="18"/>
  <c r="U136" i="18"/>
  <c r="V135" i="18"/>
  <c r="S135" i="18"/>
  <c r="Q135" i="18"/>
  <c r="O135" i="18"/>
  <c r="M135" i="18"/>
  <c r="U135" i="18" s="1"/>
  <c r="V134" i="18"/>
  <c r="S134" i="18"/>
  <c r="Q134" i="18"/>
  <c r="O134" i="18"/>
  <c r="M134" i="18"/>
  <c r="U134" i="18" s="1"/>
  <c r="V133" i="18"/>
  <c r="U133" i="18"/>
  <c r="V132" i="18"/>
  <c r="U132" i="18"/>
  <c r="V131" i="18"/>
  <c r="S131" i="18"/>
  <c r="Q131" i="18"/>
  <c r="O131" i="18"/>
  <c r="M131" i="18"/>
  <c r="U131" i="18" s="1"/>
  <c r="V130" i="18"/>
  <c r="S130" i="18"/>
  <c r="Q130" i="18"/>
  <c r="O130" i="18"/>
  <c r="M130" i="18"/>
  <c r="U130" i="18" s="1"/>
  <c r="V129" i="18"/>
  <c r="U129" i="18"/>
  <c r="V128" i="18"/>
  <c r="U128" i="18"/>
  <c r="V127" i="18"/>
  <c r="U127" i="18"/>
  <c r="V126" i="18"/>
  <c r="U126" i="18"/>
  <c r="V125" i="18"/>
  <c r="U125" i="18"/>
  <c r="V124" i="18"/>
  <c r="U124" i="18"/>
  <c r="V123" i="18"/>
  <c r="U123" i="18"/>
  <c r="V122" i="18"/>
  <c r="S122" i="18"/>
  <c r="Q122" i="18"/>
  <c r="O122" i="18"/>
  <c r="M122" i="18"/>
  <c r="U122" i="18" s="1"/>
  <c r="V121" i="18"/>
  <c r="O121" i="18"/>
  <c r="U121" i="18" s="1"/>
  <c r="M121" i="18"/>
  <c r="K121" i="18"/>
  <c r="I121" i="18"/>
  <c r="G121" i="18"/>
  <c r="V120" i="18"/>
  <c r="U120" i="18"/>
  <c r="K120" i="18"/>
  <c r="I120" i="18"/>
  <c r="G120" i="18"/>
  <c r="V119" i="18"/>
  <c r="U119" i="18"/>
  <c r="V118" i="18"/>
  <c r="U118" i="18"/>
  <c r="V117" i="18"/>
  <c r="U117" i="18"/>
  <c r="V116" i="18"/>
  <c r="U116" i="18"/>
  <c r="V115" i="18"/>
  <c r="U115" i="18"/>
  <c r="V114" i="18"/>
  <c r="U114" i="18"/>
  <c r="K114" i="18"/>
  <c r="I114" i="18"/>
  <c r="G114" i="18"/>
  <c r="V113" i="18"/>
  <c r="U113" i="18"/>
  <c r="V112" i="18"/>
  <c r="U112" i="18"/>
  <c r="V111" i="18"/>
  <c r="U111" i="18"/>
  <c r="V110" i="18"/>
  <c r="S110" i="18"/>
  <c r="Q110" i="18"/>
  <c r="O110" i="18"/>
  <c r="U110" i="18" s="1"/>
  <c r="M110" i="18"/>
  <c r="E110" i="18"/>
  <c r="V109" i="18"/>
  <c r="M109" i="18"/>
  <c r="U109" i="18" s="1"/>
  <c r="K109" i="18"/>
  <c r="I109" i="18"/>
  <c r="G109" i="18"/>
  <c r="V108" i="18"/>
  <c r="U108" i="18"/>
  <c r="V107" i="18"/>
  <c r="U107" i="18"/>
  <c r="V106" i="18"/>
  <c r="M106" i="18"/>
  <c r="U106" i="18" s="1"/>
  <c r="K106" i="18"/>
  <c r="I106" i="18"/>
  <c r="G106" i="18"/>
  <c r="V105" i="18"/>
  <c r="U105" i="18"/>
  <c r="V104" i="18"/>
  <c r="U104" i="18"/>
  <c r="V103" i="18"/>
  <c r="U103" i="18"/>
  <c r="V102" i="18"/>
  <c r="U102" i="18"/>
  <c r="V101" i="18"/>
  <c r="S101" i="18"/>
  <c r="Q101" i="18"/>
  <c r="O101" i="18"/>
  <c r="M101" i="18"/>
  <c r="U101" i="18" s="1"/>
  <c r="V100" i="18"/>
  <c r="U100" i="18"/>
  <c r="V99" i="18"/>
  <c r="U99" i="18"/>
  <c r="V98" i="18"/>
  <c r="U98" i="18"/>
  <c r="V97" i="18"/>
  <c r="U97" i="18"/>
  <c r="S97" i="18"/>
  <c r="Q97" i="18"/>
  <c r="O97" i="18"/>
  <c r="M97" i="18"/>
  <c r="V96" i="18"/>
  <c r="U96" i="18"/>
  <c r="V95" i="18"/>
  <c r="U95" i="18"/>
  <c r="V94" i="18"/>
  <c r="U94" i="18"/>
  <c r="V93" i="18"/>
  <c r="S93" i="18"/>
  <c r="Q93" i="18"/>
  <c r="O93" i="18"/>
  <c r="M93" i="18"/>
  <c r="U93" i="18" s="1"/>
  <c r="V92" i="18"/>
  <c r="U92" i="18"/>
  <c r="V91" i="18"/>
  <c r="U91" i="18"/>
  <c r="V90" i="18"/>
  <c r="U90" i="18"/>
  <c r="V89" i="18"/>
  <c r="U89" i="18"/>
  <c r="V88" i="18"/>
  <c r="U88" i="18"/>
  <c r="V87" i="18"/>
  <c r="U87" i="18"/>
  <c r="V86" i="18"/>
  <c r="U86" i="18"/>
  <c r="V85" i="18"/>
  <c r="U85" i="18"/>
  <c r="V84" i="18"/>
  <c r="U84" i="18"/>
  <c r="V83" i="18"/>
  <c r="U83" i="18"/>
  <c r="V82" i="18"/>
  <c r="U82" i="18"/>
  <c r="V81" i="18"/>
  <c r="U81" i="18"/>
  <c r="S81" i="18"/>
  <c r="Q81" i="18"/>
  <c r="O81" i="18"/>
  <c r="M81" i="18"/>
  <c r="V80" i="18"/>
  <c r="S80" i="18"/>
  <c r="Q80" i="18"/>
  <c r="O80" i="18"/>
  <c r="M80" i="18"/>
  <c r="U80" i="18" s="1"/>
  <c r="V79" i="18"/>
  <c r="S79" i="18"/>
  <c r="Q79" i="18"/>
  <c r="O79" i="18"/>
  <c r="M79" i="18"/>
  <c r="U79" i="18" s="1"/>
  <c r="V78" i="18"/>
  <c r="S78" i="18"/>
  <c r="Q78" i="18"/>
  <c r="O78" i="18"/>
  <c r="U78" i="18" s="1"/>
  <c r="M78" i="18"/>
  <c r="V77" i="18"/>
  <c r="U77" i="18"/>
  <c r="V76" i="18"/>
  <c r="U76" i="18"/>
  <c r="V75" i="18"/>
  <c r="O75" i="18"/>
  <c r="U75" i="18" s="1"/>
  <c r="G75" i="18"/>
  <c r="V74" i="18"/>
  <c r="U74" i="18"/>
  <c r="S74" i="18"/>
  <c r="Q74" i="18"/>
  <c r="O74" i="18"/>
  <c r="M74" i="18"/>
  <c r="V73" i="18"/>
  <c r="U73" i="18"/>
  <c r="V72" i="18"/>
  <c r="U72" i="18"/>
  <c r="V71" i="18"/>
  <c r="U71" i="18"/>
  <c r="V70" i="18"/>
  <c r="U70" i="18"/>
  <c r="V69" i="18"/>
  <c r="Q69" i="18"/>
  <c r="U69" i="18" s="1"/>
  <c r="K69" i="18"/>
  <c r="I69" i="18"/>
  <c r="G69" i="18"/>
  <c r="V68" i="18"/>
  <c r="U68" i="18"/>
  <c r="V67" i="18"/>
  <c r="U67" i="18"/>
  <c r="V66" i="18"/>
  <c r="U66" i="18"/>
  <c r="V65" i="18"/>
  <c r="U65" i="18"/>
  <c r="V64" i="18"/>
  <c r="U64" i="18"/>
  <c r="V63" i="18"/>
  <c r="Q63" i="18"/>
  <c r="U63" i="18" s="1"/>
  <c r="K63" i="18"/>
  <c r="I63" i="18"/>
  <c r="G63" i="18"/>
  <c r="V62" i="18"/>
  <c r="U62" i="18"/>
  <c r="V61" i="18"/>
  <c r="U61" i="18"/>
  <c r="V60" i="18"/>
  <c r="U60" i="18"/>
  <c r="V59" i="18"/>
  <c r="U59" i="18"/>
  <c r="V58" i="18"/>
  <c r="U58" i="18"/>
  <c r="V57" i="18"/>
  <c r="U57" i="18"/>
  <c r="V56" i="18"/>
  <c r="U56" i="18"/>
  <c r="V55" i="18"/>
  <c r="U55" i="18"/>
  <c r="V54" i="18"/>
  <c r="U54" i="18"/>
  <c r="V53" i="18"/>
  <c r="S53" i="18"/>
  <c r="Q53" i="18"/>
  <c r="O53" i="18"/>
  <c r="M53" i="18"/>
  <c r="U53" i="18" s="1"/>
  <c r="V52" i="18"/>
  <c r="S52" i="18"/>
  <c r="Q52" i="18"/>
  <c r="O52" i="18"/>
  <c r="M52" i="18"/>
  <c r="U52" i="18" s="1"/>
  <c r="V51" i="18"/>
  <c r="S51" i="18"/>
  <c r="Q51" i="18"/>
  <c r="O51" i="18"/>
  <c r="U51" i="18" s="1"/>
  <c r="M51" i="18"/>
  <c r="E51" i="18"/>
  <c r="V50" i="18"/>
  <c r="Q50" i="18"/>
  <c r="U50" i="18" s="1"/>
  <c r="K50" i="18"/>
  <c r="I50" i="18"/>
  <c r="G50" i="18"/>
  <c r="V49" i="18"/>
  <c r="U49" i="18"/>
  <c r="V48" i="18"/>
  <c r="U48" i="18"/>
  <c r="K48" i="18"/>
  <c r="I48" i="18"/>
  <c r="G48" i="18"/>
  <c r="V47" i="18"/>
  <c r="M47" i="18"/>
  <c r="U47" i="18" s="1"/>
  <c r="K47" i="18"/>
  <c r="I47" i="18"/>
  <c r="G47" i="18"/>
  <c r="V46" i="18"/>
  <c r="U46" i="18"/>
  <c r="K46" i="18"/>
  <c r="I46" i="18"/>
  <c r="G46" i="18"/>
  <c r="V45" i="18"/>
  <c r="S45" i="18"/>
  <c r="Q45" i="18"/>
  <c r="O45" i="18"/>
  <c r="M45" i="18"/>
  <c r="U45" i="18" s="1"/>
  <c r="V44" i="18"/>
  <c r="U44" i="18"/>
  <c r="V43" i="18"/>
  <c r="U43" i="18"/>
  <c r="V42" i="18"/>
  <c r="U42" i="18"/>
  <c r="S42" i="18"/>
  <c r="Q42" i="18"/>
  <c r="O42" i="18"/>
  <c r="M42" i="18"/>
  <c r="V41" i="18"/>
  <c r="U41" i="18"/>
  <c r="V40" i="18"/>
  <c r="U40" i="18"/>
  <c r="V39" i="18"/>
  <c r="U39" i="18"/>
  <c r="V38" i="18"/>
  <c r="U38" i="18"/>
  <c r="V37" i="18"/>
  <c r="U37" i="18"/>
  <c r="V36" i="18"/>
  <c r="S36" i="18"/>
  <c r="Q36" i="18"/>
  <c r="U36" i="18" s="1"/>
  <c r="O36" i="18"/>
  <c r="M36" i="18"/>
  <c r="V35" i="18"/>
  <c r="S35" i="18"/>
  <c r="Q35" i="18"/>
  <c r="O35" i="18"/>
  <c r="U35" i="18" s="1"/>
  <c r="M35" i="18"/>
  <c r="K35" i="18"/>
  <c r="I35" i="18"/>
  <c r="G35" i="18"/>
  <c r="E35" i="18"/>
  <c r="V34" i="18"/>
  <c r="U34" i="18"/>
  <c r="V33" i="18"/>
  <c r="S33" i="18"/>
  <c r="Q33" i="18"/>
  <c r="O33" i="18"/>
  <c r="M33" i="18"/>
  <c r="U33" i="18" s="1"/>
  <c r="V32" i="18"/>
  <c r="U32" i="18"/>
  <c r="V31" i="18"/>
  <c r="U31" i="18"/>
  <c r="V30" i="18"/>
  <c r="U30" i="18"/>
  <c r="V29" i="18"/>
  <c r="U29" i="18"/>
  <c r="V28" i="18"/>
  <c r="U28" i="18"/>
  <c r="V27" i="18"/>
  <c r="S27" i="18"/>
  <c r="Q27" i="18"/>
  <c r="O27" i="18"/>
  <c r="M27" i="18"/>
  <c r="U27" i="18" s="1"/>
  <c r="K27" i="18"/>
  <c r="I27" i="18"/>
  <c r="G27" i="18"/>
  <c r="E27" i="18"/>
  <c r="V26" i="18"/>
  <c r="U26" i="18"/>
  <c r="E26" i="18"/>
  <c r="V25" i="18"/>
  <c r="U25" i="18"/>
  <c r="V24" i="18"/>
  <c r="U24" i="18"/>
  <c r="V23" i="18"/>
  <c r="U23" i="18"/>
  <c r="V22" i="18"/>
  <c r="U22" i="18"/>
  <c r="V21" i="18"/>
  <c r="U21" i="18"/>
  <c r="V20" i="18"/>
  <c r="U20" i="18"/>
  <c r="V19" i="18"/>
  <c r="U19" i="18"/>
  <c r="V18" i="18"/>
  <c r="U18" i="18"/>
  <c r="V17" i="18"/>
  <c r="U17" i="18"/>
  <c r="V16" i="18"/>
  <c r="U16" i="18"/>
  <c r="V15" i="18"/>
  <c r="U15" i="18"/>
  <c r="V14" i="18"/>
  <c r="U14" i="18"/>
  <c r="V13" i="18"/>
  <c r="S13" i="18"/>
  <c r="Q13" i="18"/>
  <c r="U13" i="18" s="1"/>
  <c r="O13" i="18"/>
  <c r="M13" i="18"/>
  <c r="V12" i="18"/>
  <c r="U12" i="18"/>
  <c r="V11" i="18"/>
  <c r="S11" i="18"/>
  <c r="Q11" i="18"/>
  <c r="U11" i="18" s="1"/>
  <c r="O11" i="18"/>
  <c r="M11" i="18"/>
  <c r="V10" i="18"/>
  <c r="U10" i="18"/>
  <c r="V9" i="18"/>
  <c r="U9" i="18"/>
  <c r="E9" i="18"/>
  <c r="V8" i="18"/>
  <c r="V271" i="18" s="1"/>
  <c r="V276" i="18" s="1"/>
  <c r="S8" i="18"/>
  <c r="S271" i="18" s="1"/>
  <c r="S276" i="18" s="1"/>
  <c r="Q8" i="18"/>
  <c r="Q271" i="18" s="1"/>
  <c r="Q276" i="18" s="1"/>
  <c r="O8" i="18"/>
  <c r="O271" i="18" s="1"/>
  <c r="O276" i="18" s="1"/>
  <c r="M8" i="18"/>
  <c r="M271" i="18" s="1"/>
  <c r="M276" i="18" s="1"/>
  <c r="K8" i="18"/>
  <c r="K271" i="18" s="1"/>
  <c r="K276" i="18" s="1"/>
  <c r="I8" i="18"/>
  <c r="I271" i="18" s="1"/>
  <c r="I276" i="18" s="1"/>
  <c r="G8" i="18"/>
  <c r="G271" i="18" s="1"/>
  <c r="G276" i="18" s="1"/>
  <c r="E8" i="18"/>
  <c r="E271" i="18" s="1"/>
  <c r="E276" i="18" s="1"/>
  <c r="E75" i="20"/>
  <c r="E67" i="20"/>
  <c r="E48" i="20"/>
  <c r="E47" i="20" s="1"/>
  <c r="F5" i="20" s="1"/>
  <c r="E39" i="20"/>
  <c r="E34" i="20"/>
  <c r="F6" i="20"/>
  <c r="D6" i="20"/>
  <c r="BP15" i="31"/>
  <c r="BP16" i="31" s="1"/>
  <c r="BO15" i="31"/>
  <c r="BN15" i="31"/>
  <c r="BN16" i="31" s="1"/>
  <c r="BM15" i="31"/>
  <c r="BM16" i="31" s="1"/>
  <c r="BL15" i="31"/>
  <c r="BL16" i="31" s="1"/>
  <c r="BJ15" i="31"/>
  <c r="BI15" i="31"/>
  <c r="BH15" i="31"/>
  <c r="BH16" i="31" s="1"/>
  <c r="BF15" i="31"/>
  <c r="BF16" i="31" s="1"/>
  <c r="BC15" i="31"/>
  <c r="BC16" i="31" s="1"/>
  <c r="AY15" i="31"/>
  <c r="AY16" i="31" s="1"/>
  <c r="AU15" i="31"/>
  <c r="AT15" i="31"/>
  <c r="AT16" i="31" s="1"/>
  <c r="AS15" i="31"/>
  <c r="AS16" i="31" s="1"/>
  <c r="AQ15" i="31"/>
  <c r="AP15" i="31"/>
  <c r="AP16" i="31" s="1"/>
  <c r="AN15" i="31"/>
  <c r="AN16" i="31" s="1"/>
  <c r="AM15" i="31"/>
  <c r="AM16" i="31" s="1"/>
  <c r="AK15" i="31"/>
  <c r="AK16" i="31" s="1"/>
  <c r="AJ15" i="31"/>
  <c r="AH15" i="31"/>
  <c r="AH16" i="31" s="1"/>
  <c r="AG15" i="31"/>
  <c r="AE15" i="31"/>
  <c r="AE16" i="31" s="1"/>
  <c r="AD15" i="31"/>
  <c r="AD16" i="31" s="1"/>
  <c r="AA15" i="31"/>
  <c r="Y15" i="31"/>
  <c r="X15" i="31"/>
  <c r="W15" i="31"/>
  <c r="W16" i="31" s="1"/>
  <c r="V15" i="31"/>
  <c r="V16" i="31" s="1"/>
  <c r="U15" i="31"/>
  <c r="T15" i="31"/>
  <c r="T16" i="31" s="1"/>
  <c r="S15" i="31"/>
  <c r="R15" i="31"/>
  <c r="Q15" i="31"/>
  <c r="Q16" i="31" s="1"/>
  <c r="P15" i="31"/>
  <c r="O15" i="31"/>
  <c r="O16" i="31" s="1"/>
  <c r="M15" i="31"/>
  <c r="M16" i="31" s="1"/>
  <c r="BQ14" i="31"/>
  <c r="BB14" i="31"/>
  <c r="BB15" i="31" s="1"/>
  <c r="AU14" i="31"/>
  <c r="AR14" i="31"/>
  <c r="AX14" i="31" s="1"/>
  <c r="AO14" i="31"/>
  <c r="AO15" i="31" s="1"/>
  <c r="AO16" i="31" s="1"/>
  <c r="AL14" i="31"/>
  <c r="AL15" i="31" s="1"/>
  <c r="AL16" i="31" s="1"/>
  <c r="AI14" i="31"/>
  <c r="AI15" i="31" s="1"/>
  <c r="AI16" i="31" s="1"/>
  <c r="AF14" i="31"/>
  <c r="AF15" i="31" s="1"/>
  <c r="Z14" i="31"/>
  <c r="AB14" i="31" s="1"/>
  <c r="Y14" i="31"/>
  <c r="AW14" i="31" s="1"/>
  <c r="AW15" i="31" s="1"/>
  <c r="K14" i="31"/>
  <c r="L14" i="31" s="1"/>
  <c r="BQ13" i="31"/>
  <c r="BP13" i="31"/>
  <c r="BO13" i="31"/>
  <c r="BN13" i="31"/>
  <c r="BM13" i="31"/>
  <c r="BL13" i="31"/>
  <c r="BJ13" i="31"/>
  <c r="BJ16" i="31" s="1"/>
  <c r="BI13" i="31"/>
  <c r="BI16" i="31" s="1"/>
  <c r="BH13" i="31"/>
  <c r="BF13" i="31"/>
  <c r="BC13" i="31"/>
  <c r="AY13" i="31"/>
  <c r="AT13" i="31"/>
  <c r="AS13" i="31"/>
  <c r="AR13" i="31"/>
  <c r="AQ13" i="31"/>
  <c r="AQ16" i="31" s="1"/>
  <c r="AP13" i="31"/>
  <c r="AO13" i="31"/>
  <c r="AN13" i="31"/>
  <c r="AM13" i="31"/>
  <c r="AK13" i="31"/>
  <c r="AJ13" i="31"/>
  <c r="AJ16" i="31" s="1"/>
  <c r="AI13" i="31"/>
  <c r="AH13" i="31"/>
  <c r="AG13" i="31"/>
  <c r="AG16" i="31" s="1"/>
  <c r="AE13" i="31"/>
  <c r="AD13" i="31"/>
  <c r="AA13" i="31"/>
  <c r="AA16" i="31" s="1"/>
  <c r="Z13" i="31"/>
  <c r="Y13" i="31"/>
  <c r="X13" i="31"/>
  <c r="X16" i="31" s="1"/>
  <c r="W13" i="31"/>
  <c r="V13" i="31"/>
  <c r="T13" i="31"/>
  <c r="S13" i="31"/>
  <c r="S16" i="31" s="1"/>
  <c r="R13" i="31"/>
  <c r="R16" i="31" s="1"/>
  <c r="Q13" i="31"/>
  <c r="P13" i="31"/>
  <c r="P16" i="31" s="1"/>
  <c r="O13" i="31"/>
  <c r="M13" i="31"/>
  <c r="BQ12" i="31"/>
  <c r="BB12" i="31"/>
  <c r="BD12" i="31" s="1"/>
  <c r="AU12" i="31"/>
  <c r="AU13" i="31" s="1"/>
  <c r="AR12" i="31"/>
  <c r="AX12" i="31" s="1"/>
  <c r="AO12" i="31"/>
  <c r="AL12" i="31"/>
  <c r="AL13" i="31" s="1"/>
  <c r="AI12" i="31"/>
  <c r="AF12" i="31"/>
  <c r="AF13" i="31" s="1"/>
  <c r="AB12" i="31"/>
  <c r="BA12" i="31" s="1"/>
  <c r="BA13" i="31" s="1"/>
  <c r="Y12" i="31"/>
  <c r="AW12" i="31" s="1"/>
  <c r="AW13" i="31" s="1"/>
  <c r="U12" i="31"/>
  <c r="U13" i="31" s="1"/>
  <c r="K12" i="31"/>
  <c r="L12" i="31" s="1"/>
  <c r="BP11" i="31"/>
  <c r="BO11" i="31"/>
  <c r="BN11" i="31"/>
  <c r="BM11" i="31"/>
  <c r="BL11" i="31"/>
  <c r="BJ11" i="31"/>
  <c r="BI11" i="31"/>
  <c r="BH11" i="31"/>
  <c r="BF11" i="31"/>
  <c r="BC11" i="31"/>
  <c r="AY11" i="31"/>
  <c r="AT11" i="31"/>
  <c r="AS11" i="31"/>
  <c r="AR11" i="31"/>
  <c r="AQ11" i="31"/>
  <c r="AP11" i="31"/>
  <c r="AN11" i="31"/>
  <c r="AM11" i="31"/>
  <c r="AL11" i="31"/>
  <c r="AK11" i="31"/>
  <c r="AJ11" i="31"/>
  <c r="AH11" i="31"/>
  <c r="AG11" i="31"/>
  <c r="AE11" i="31"/>
  <c r="AD11" i="31"/>
  <c r="AB11" i="31"/>
  <c r="AA11" i="31"/>
  <c r="Z11" i="31"/>
  <c r="X11" i="31"/>
  <c r="W11" i="31"/>
  <c r="V11" i="31"/>
  <c r="T11" i="31"/>
  <c r="S11" i="31"/>
  <c r="R11" i="31"/>
  <c r="Q11" i="31"/>
  <c r="P11" i="31"/>
  <c r="O11" i="31"/>
  <c r="M11" i="31"/>
  <c r="BQ10" i="31"/>
  <c r="BQ11" i="31" s="1"/>
  <c r="AX10" i="31"/>
  <c r="AX11" i="31" s="1"/>
  <c r="AU10" i="31"/>
  <c r="BB10" i="31" s="1"/>
  <c r="AR10" i="31"/>
  <c r="AO10" i="31"/>
  <c r="AO11" i="31" s="1"/>
  <c r="AL10" i="31"/>
  <c r="AI10" i="31"/>
  <c r="AI11" i="31" s="1"/>
  <c r="AF10" i="31"/>
  <c r="AF11" i="31" s="1"/>
  <c r="AB10" i="31"/>
  <c r="BA10" i="31" s="1"/>
  <c r="BA11" i="31" s="1"/>
  <c r="Y10" i="31"/>
  <c r="Y11" i="31" s="1"/>
  <c r="U10" i="31"/>
  <c r="U11" i="31" s="1"/>
  <c r="S10" i="31"/>
  <c r="K10" i="31"/>
  <c r="L10" i="31" s="1"/>
  <c r="BP9" i="31"/>
  <c r="BO9" i="31"/>
  <c r="BO16" i="31" s="1"/>
  <c r="BN9" i="31"/>
  <c r="BM9" i="31"/>
  <c r="BL9" i="31"/>
  <c r="BJ9" i="31"/>
  <c r="BI9" i="31"/>
  <c r="BH9" i="31"/>
  <c r="BF9" i="31"/>
  <c r="BC9" i="31"/>
  <c r="AY9" i="31"/>
  <c r="AU9" i="31"/>
  <c r="AT9" i="31"/>
  <c r="AS9" i="31"/>
  <c r="AQ9" i="31"/>
  <c r="AP9" i="31"/>
  <c r="AN9" i="31"/>
  <c r="AM9" i="31"/>
  <c r="AK9" i="31"/>
  <c r="AJ9" i="31"/>
  <c r="AH9" i="31"/>
  <c r="AG9" i="31"/>
  <c r="AF9" i="31"/>
  <c r="AE9" i="31"/>
  <c r="AD9" i="31"/>
  <c r="AA9" i="31"/>
  <c r="Z9" i="31"/>
  <c r="Y9" i="31"/>
  <c r="X9" i="31"/>
  <c r="W9" i="31"/>
  <c r="V9" i="31"/>
  <c r="T9" i="31"/>
  <c r="R9" i="31"/>
  <c r="Q9" i="31"/>
  <c r="P9" i="31"/>
  <c r="M9" i="31"/>
  <c r="BN8" i="31"/>
  <c r="BQ8" i="31" s="1"/>
  <c r="BB8" i="31"/>
  <c r="BD8" i="31" s="1"/>
  <c r="BA8" i="31"/>
  <c r="BA9" i="31" s="1"/>
  <c r="AU8" i="31"/>
  <c r="AR8" i="31"/>
  <c r="AX8" i="31" s="1"/>
  <c r="AO8" i="31"/>
  <c r="AO9" i="31" s="1"/>
  <c r="AL8" i="31"/>
  <c r="AL9" i="31" s="1"/>
  <c r="AI8" i="31"/>
  <c r="AI9" i="31" s="1"/>
  <c r="AF8" i="31"/>
  <c r="AB8" i="31"/>
  <c r="AB9" i="31" s="1"/>
  <c r="Y8" i="31"/>
  <c r="AW8" i="31" s="1"/>
  <c r="AW9" i="31" s="1"/>
  <c r="U8" i="31"/>
  <c r="U9" i="31" s="1"/>
  <c r="S8" i="31"/>
  <c r="S9" i="31" s="1"/>
  <c r="Q8" i="31"/>
  <c r="O8" i="31"/>
  <c r="O9" i="31" s="1"/>
  <c r="J8" i="31"/>
  <c r="I8" i="31"/>
  <c r="H8" i="31"/>
  <c r="G8" i="31"/>
  <c r="K8" i="31" s="1"/>
  <c r="L8" i="31" s="1"/>
  <c r="U169" i="32" l="1"/>
  <c r="E29" i="20" s="1"/>
  <c r="E28" i="20" s="1"/>
  <c r="F4" i="20" s="1"/>
  <c r="F7" i="20" s="1"/>
  <c r="W166" i="18"/>
  <c r="E38" i="20" s="1"/>
  <c r="W205" i="18"/>
  <c r="E41" i="20" s="1"/>
  <c r="U8" i="18"/>
  <c r="BQ9" i="31"/>
  <c r="BD13" i="31"/>
  <c r="BG12" i="31"/>
  <c r="Y16" i="31"/>
  <c r="AZ14" i="31"/>
  <c r="AZ15" i="31" s="1"/>
  <c r="AX15" i="31"/>
  <c r="BB16" i="31"/>
  <c r="AB15" i="31"/>
  <c r="BA14" i="31"/>
  <c r="U16" i="31"/>
  <c r="AZ12" i="31"/>
  <c r="AZ13" i="31" s="1"/>
  <c r="AX13" i="31"/>
  <c r="AZ8" i="31"/>
  <c r="AZ9" i="31" s="1"/>
  <c r="AX9" i="31"/>
  <c r="BD9" i="31"/>
  <c r="BG8" i="31"/>
  <c r="BD10" i="31"/>
  <c r="BB11" i="31"/>
  <c r="AF16" i="31"/>
  <c r="AW10" i="31"/>
  <c r="AU11" i="31"/>
  <c r="AU16" i="31" s="1"/>
  <c r="AB13" i="31"/>
  <c r="Z15" i="31"/>
  <c r="Z16" i="31" s="1"/>
  <c r="BQ15" i="31"/>
  <c r="AR9" i="31"/>
  <c r="AR15" i="31"/>
  <c r="AR16" i="31" s="1"/>
  <c r="U271" i="18" l="1"/>
  <c r="U276" i="18" s="1"/>
  <c r="W35" i="18"/>
  <c r="E37" i="20" s="1"/>
  <c r="E36" i="20" s="1"/>
  <c r="D4" i="20" s="1"/>
  <c r="D7" i="20" s="1"/>
  <c r="BA15" i="31"/>
  <c r="BA16" i="31" s="1"/>
  <c r="BD14" i="31"/>
  <c r="BQ16" i="31"/>
  <c r="AB16" i="31"/>
  <c r="BG10" i="31"/>
  <c r="BD11" i="31"/>
  <c r="BK8" i="31"/>
  <c r="BR8" i="31" s="1"/>
  <c r="BG9" i="31"/>
  <c r="BK9" i="31" s="1"/>
  <c r="BG13" i="31"/>
  <c r="BK13" i="31" s="1"/>
  <c r="BR13" i="31" s="1"/>
  <c r="BK12" i="31"/>
  <c r="BR12" i="31" s="1"/>
  <c r="AZ10" i="31"/>
  <c r="AZ11" i="31" s="1"/>
  <c r="AZ16" i="31" s="1"/>
  <c r="AW11" i="31"/>
  <c r="AW16" i="31" s="1"/>
  <c r="BR9" i="31"/>
  <c r="AX16" i="31"/>
  <c r="BG11" i="31" l="1"/>
  <c r="BK11" i="31" s="1"/>
  <c r="BR11" i="31" s="1"/>
  <c r="BK10" i="31"/>
  <c r="BR10" i="31" s="1"/>
  <c r="BD15" i="31"/>
  <c r="BD16" i="31" s="1"/>
  <c r="BG14" i="31"/>
  <c r="BK14" i="31" l="1"/>
  <c r="BR14" i="31" s="1"/>
  <c r="BG15" i="31"/>
  <c r="BG16" i="31" l="1"/>
  <c r="BK15" i="31"/>
  <c r="BK16" i="31" l="1"/>
  <c r="BR15" i="31"/>
  <c r="BR16" i="31" s="1"/>
</calcChain>
</file>

<file path=xl/sharedStrings.xml><?xml version="1.0" encoding="utf-8"?>
<sst xmlns="http://schemas.openxmlformats.org/spreadsheetml/2006/main" count="2670" uniqueCount="1368">
  <si>
    <t>سرمایه ای</t>
  </si>
  <si>
    <t>ارقام به میلیون ریال</t>
  </si>
  <si>
    <t>آستان قدس رضوی</t>
  </si>
  <si>
    <t>واحد سنجش</t>
  </si>
  <si>
    <t>عملکرد</t>
  </si>
  <si>
    <t>هزینه ها</t>
  </si>
  <si>
    <t>عملکرد 8 ماهه</t>
  </si>
  <si>
    <t>مشارکتهای مردمی</t>
  </si>
  <si>
    <t>موقوفات</t>
  </si>
  <si>
    <t>خاص</t>
  </si>
  <si>
    <t>ردیف</t>
  </si>
  <si>
    <t>عام
(کسری)</t>
  </si>
  <si>
    <t>حاصل از فعالیت</t>
  </si>
  <si>
    <t>حقوق</t>
  </si>
  <si>
    <t>محصول</t>
  </si>
  <si>
    <t>جمع کل</t>
  </si>
  <si>
    <t>بهار</t>
  </si>
  <si>
    <t>تابستان</t>
  </si>
  <si>
    <t>پاییز</t>
  </si>
  <si>
    <t>زمستان</t>
  </si>
  <si>
    <t>جمع</t>
  </si>
  <si>
    <t>حقوق صاحبان سهام</t>
  </si>
  <si>
    <t>جبران خدمات كاركنان</t>
  </si>
  <si>
    <t>رفاه اجتماعي</t>
  </si>
  <si>
    <t>مصارف موقوفاتی</t>
  </si>
  <si>
    <t>یارانه ها و کمکهای بلاعوض</t>
  </si>
  <si>
    <t>سایر هزینه ها</t>
  </si>
  <si>
    <t xml:space="preserve">مصرف سرمایه های ثابت ( استهلاک ) </t>
  </si>
  <si>
    <t>معاونت /سازمان / موسسه</t>
  </si>
  <si>
    <t>مدیریت</t>
  </si>
  <si>
    <t>متولی</t>
  </si>
  <si>
    <t>معاونت طرح و برنامه</t>
  </si>
  <si>
    <t>حجمی</t>
  </si>
  <si>
    <t>ریالی</t>
  </si>
  <si>
    <t>فصل</t>
  </si>
  <si>
    <t>ماده</t>
  </si>
  <si>
    <t>جزء ماده</t>
  </si>
  <si>
    <t>حقوق و دستمزد</t>
  </si>
  <si>
    <t>حقوق كارمندان رسمي و پیمانی</t>
  </si>
  <si>
    <t>حقوق کارگران قراردادي</t>
  </si>
  <si>
    <t>حقوق مامورين انتظامي</t>
  </si>
  <si>
    <t>حقوق مشمولين</t>
  </si>
  <si>
    <t>حقوق و دستمزد کارگران روزمزد</t>
  </si>
  <si>
    <t>حقوق و دستمزد کارگران فصلی - پروژه ای</t>
  </si>
  <si>
    <t>حقوق و دستمزد کارکنان مامور به خدمت</t>
  </si>
  <si>
    <t>سایر موارد حقوق و دستمزد</t>
  </si>
  <si>
    <t>فوق العاده ها و مزاياي شغل</t>
  </si>
  <si>
    <t>فوق العاده خاص</t>
  </si>
  <si>
    <t>فوق العاده ويژه</t>
  </si>
  <si>
    <t>فوق العاده و حق مديريت</t>
  </si>
  <si>
    <t>فوق العاده شغل</t>
  </si>
  <si>
    <t>اضافه كاري</t>
  </si>
  <si>
    <t>بدي آب و هوا</t>
  </si>
  <si>
    <t>سختي كار</t>
  </si>
  <si>
    <t>كمك عائله مندي</t>
  </si>
  <si>
    <t>حق اولاد</t>
  </si>
  <si>
    <t>ایثاگری</t>
  </si>
  <si>
    <t>عيدي و پاداش</t>
  </si>
  <si>
    <t>مزایای قانون کار ( بن کارگری،عائله مندی،حق مسکن)</t>
  </si>
  <si>
    <t>حق فنی</t>
  </si>
  <si>
    <t>حق مدرک تحصیلی</t>
  </si>
  <si>
    <t>حق بازاریابی</t>
  </si>
  <si>
    <t>حق جذب</t>
  </si>
  <si>
    <t>کشیک،جمعه کاری،نوبت کاری و شبکاری</t>
  </si>
  <si>
    <t>کارانه</t>
  </si>
  <si>
    <t>پاداش</t>
  </si>
  <si>
    <t>سایر فوق العاده و مزایای حکمی</t>
  </si>
  <si>
    <t xml:space="preserve"> استفاده از كالاها و خدمات</t>
  </si>
  <si>
    <t xml:space="preserve"> ماموريت و نقل و انتقال كاركنان</t>
  </si>
  <si>
    <t>حق ماموریت کارکنان</t>
  </si>
  <si>
    <t>بهای بلیط ماموریت ( هواپیما،قطار،سواری)</t>
  </si>
  <si>
    <t>ایاب و ذهاب منظور در فیش</t>
  </si>
  <si>
    <t>کرایه ماشین آلات وسائط نقلیه جهت کارکنان</t>
  </si>
  <si>
    <t>فوق العاده نقل مکان کارکنان</t>
  </si>
  <si>
    <t>سایر ماموریت و نقل و انتقال کارکنان</t>
  </si>
  <si>
    <t>حمل و نقل و ارتباطات</t>
  </si>
  <si>
    <t>هزينه حمل و نقل نامه ها و اشتراك صندوق هاي پستي</t>
  </si>
  <si>
    <t>هزينه تلفن وفاكس</t>
  </si>
  <si>
    <t>ارتباطات ماهواره ای ، اینترنت ، اینترانت</t>
  </si>
  <si>
    <t>حمل و نقل کالاها</t>
  </si>
  <si>
    <t>ایاب و ذهاب</t>
  </si>
  <si>
    <t>سایر حمل و نقل و ارتباطات</t>
  </si>
  <si>
    <t>تعمیر و نگهداري</t>
  </si>
  <si>
    <t xml:space="preserve">تعمیر و نگهداری ساختمان و مستحدثات </t>
  </si>
  <si>
    <t>تعمیر و نگهداری تاسیسات ساختمان</t>
  </si>
  <si>
    <t xml:space="preserve">تعمیر و نگهداری ماشین آلات و تجهیزات </t>
  </si>
  <si>
    <t xml:space="preserve">تعمیر و نگهداری لوازم، ابزارآلات و قالب ها </t>
  </si>
  <si>
    <t>تعمیر و نگهداری وسایل نقلیه</t>
  </si>
  <si>
    <t>تعمیر و نگهداری اثاثیه و منصوبات</t>
  </si>
  <si>
    <t>تعمیر و نگهداری تجهیزات رایانه ای،کپی و فکس</t>
  </si>
  <si>
    <t>تعمیر و نگهداری تجهیزات مخابراتی</t>
  </si>
  <si>
    <t>تعمیر و نگهداری تجهیزات رسانه ای و تبلیغاتی</t>
  </si>
  <si>
    <t>تعمیر و نگهداری تجهیزات حفاظتی و امنیتی</t>
  </si>
  <si>
    <t>تعمیر و نگهداری فضای سبز</t>
  </si>
  <si>
    <t>تعمیر و نگهداری تاسیسات چاهها</t>
  </si>
  <si>
    <t>تعمیر و نگهداری تاسیسات آبرسانی</t>
  </si>
  <si>
    <t xml:space="preserve">تعمیر و نگهداری شاهراه‌ ها، بندر، خطوط‌ راه آهن‌ و فرودگاه‌ </t>
  </si>
  <si>
    <t xml:space="preserve">تعمیر و نگهداری تاسیسات شاهراه‌ ها، بندر، خطوط‌ راه آهن‌ و فرودگاه‌ </t>
  </si>
  <si>
    <t>سایر تعمیر و نگهداری</t>
  </si>
  <si>
    <t>حق عضویت</t>
  </si>
  <si>
    <t>حق عضویت در سازمان ها و موسسات داخلی</t>
  </si>
  <si>
    <t>حق عضویت در سازمان ها و موسسات خارجی</t>
  </si>
  <si>
    <t>سایر حق عضویت</t>
  </si>
  <si>
    <t>چاپ و خرید اوراق اداری</t>
  </si>
  <si>
    <t>چاپ و تکثیر دفاتر و اوراق اداری</t>
  </si>
  <si>
    <t>خرید دفاتر و اوراق اداری</t>
  </si>
  <si>
    <t>خرید کاغذ و مقوا</t>
  </si>
  <si>
    <t>سایر چاپ و خرید ملزمات اداری</t>
  </si>
  <si>
    <t>تبلیغات و اطلاع رسانی</t>
  </si>
  <si>
    <t>هزینه های نمایشگاهی</t>
  </si>
  <si>
    <t>هدایای تبلیغاتی</t>
  </si>
  <si>
    <t>برگزاری سمینارها و همایش ها</t>
  </si>
  <si>
    <t>چاپ و اشتراک مطبوعات</t>
  </si>
  <si>
    <t>تبلیغات و اطلاع رسانی در فضای مجازی</t>
  </si>
  <si>
    <t>اجاره فضاهای تبلیغاتی(بیلبورد و ...)</t>
  </si>
  <si>
    <t>درج آگهی و تبلیغات رسانه ای</t>
  </si>
  <si>
    <t>سایر تبلیغات و اطلاع رسانی</t>
  </si>
  <si>
    <t>پذیرایی و تشريفات</t>
  </si>
  <si>
    <t>پذیرایی و تشریفات اداری</t>
  </si>
  <si>
    <t>برگزاری مراسمات (جشن ها و سوگواریها )</t>
  </si>
  <si>
    <t>هزینه اسکان و پذیرایی از مهمانان</t>
  </si>
  <si>
    <t>حق سفره</t>
  </si>
  <si>
    <t>مواد غذایی - روغن و چربی ها</t>
  </si>
  <si>
    <t>مواد غذایی - شیرینی ها</t>
  </si>
  <si>
    <t>مواد غذایی - گوشت ها و جایگزین ها</t>
  </si>
  <si>
    <t>مواد غذایی - غلات ،حبوبات و دانه ها</t>
  </si>
  <si>
    <t>مواد غذایی - شیر و لبنیات</t>
  </si>
  <si>
    <t>مواد غذایی - میوه ها</t>
  </si>
  <si>
    <t>مواد غذایی - سایر</t>
  </si>
  <si>
    <t>ظروف غذا</t>
  </si>
  <si>
    <t>لیوان یکبار مصرف</t>
  </si>
  <si>
    <t>سایر تشریفات</t>
  </si>
  <si>
    <t>هزينه هاي قضائي، ثبتي و حقوقي</t>
  </si>
  <si>
    <t>حق الوكاله و حق المشاوره</t>
  </si>
  <si>
    <t>خسارت و جبران صدمات حقوقی</t>
  </si>
  <si>
    <t>سایر هزینه های قضائی،ثبتی و حقوقی</t>
  </si>
  <si>
    <t>هزينه هاي خدمات بانكي</t>
  </si>
  <si>
    <t>(کارمزد خدمات بانكي (دسته چک،سفته و انتقال وجوه</t>
  </si>
  <si>
    <t>کارمزد ضمانت نامه های بانکی</t>
  </si>
  <si>
    <t>نگهداری اسناد و اشیاء قیمتی در بانکها</t>
  </si>
  <si>
    <t>خرید دسته چک و سفته و موارد مشابه</t>
  </si>
  <si>
    <t>سایر هزینه های خدمات بانکی</t>
  </si>
  <si>
    <t xml:space="preserve"> آب ، برق و سوخت مصرفي</t>
  </si>
  <si>
    <t>آب بهاي آشامیدنی و یخ</t>
  </si>
  <si>
    <t>بهای برق مصرفی</t>
  </si>
  <si>
    <t>بهای گاز مصرفی</t>
  </si>
  <si>
    <t>آب بهاي غیر آشامیدنی</t>
  </si>
  <si>
    <t>سوخت وسائل نقليه</t>
  </si>
  <si>
    <t>سوخت ماشين آلات</t>
  </si>
  <si>
    <t>سوخت های حرارتي (نفت سفید،نفت کوره و گازوئیل)</t>
  </si>
  <si>
    <t>سایر آب،برق و سوخت مصرفی</t>
  </si>
  <si>
    <t>مواد و لوازم مصرف شدني</t>
  </si>
  <si>
    <t>خرید لوازم اداری مصرفی</t>
  </si>
  <si>
    <t>خرید تجهیزات رایانه ای مصرفی</t>
  </si>
  <si>
    <t>خرید لوازم بهداشتی و تنظیف</t>
  </si>
  <si>
    <t>لوازم مصرفی امنیتی و حفاظتی</t>
  </si>
  <si>
    <t>خريدبذرونهال وسم ولوازم باغباني</t>
  </si>
  <si>
    <t>مواد و لوازم پزشکی</t>
  </si>
  <si>
    <t>مواد و لوازم مربوط به بسته بندی</t>
  </si>
  <si>
    <t>پلاستیک رکابی و زباله</t>
  </si>
  <si>
    <t>سایر مواد و لوازم مصرف شدنی خریداری شده</t>
  </si>
  <si>
    <t>هزينه هاي مطالعاتي و تحقيقاتي</t>
  </si>
  <si>
    <t>حق التاليف و حق الترجمه</t>
  </si>
  <si>
    <t>برگزاری و شرکت در همایش ها ،سمینارها و دوره های آموزشی کارکنان</t>
  </si>
  <si>
    <t>خريد كتاب، فيلمهاي ويدويي و ساير لوازم مشابه</t>
  </si>
  <si>
    <t>هزینه طراحی</t>
  </si>
  <si>
    <t>هزینه تولید آزمایشی</t>
  </si>
  <si>
    <t>سایر هزینه های مطالعاتی و تحقیقاتی</t>
  </si>
  <si>
    <t>حق الزحمه و خدمات قراردادی</t>
  </si>
  <si>
    <t>حق الزحمه نیروهای خدماتی</t>
  </si>
  <si>
    <t>حق الزحمه نیروهای حفاظتی و انتظامی</t>
  </si>
  <si>
    <t>حق الزحمه خدمات مالی و اداری</t>
  </si>
  <si>
    <t>حق الزحمه خدمات حسابرسی</t>
  </si>
  <si>
    <t>حق الزحمه و حق القدم مبلغین و کارشناسان فرهنگی</t>
  </si>
  <si>
    <t>مزارعه و مناصفه کاری</t>
  </si>
  <si>
    <t>حق الزحمه پشتیبانی نرم افزارها و سخت افزارها</t>
  </si>
  <si>
    <t>حق الزحمه مشاوران</t>
  </si>
  <si>
    <t>حق الزحمه کارشناس رسمی دادگستری</t>
  </si>
  <si>
    <t>حق الجلسه اعضای هیئت مدیره غیر موظف</t>
  </si>
  <si>
    <t>کارمزد بازاریابی،فروش و حق العمل کاری</t>
  </si>
  <si>
    <t>حق الزحمه نظارت،مدیریت و بازرسی</t>
  </si>
  <si>
    <t>برون سپاری تولید</t>
  </si>
  <si>
    <t>دریافت و تمدید گواهینامه های حرفه ای سازمانی</t>
  </si>
  <si>
    <t>سایر حق الزحمه و خدمات قراردادی</t>
  </si>
  <si>
    <t>صادرات کالا و خدمات</t>
  </si>
  <si>
    <t>هزینه صادرات کالا</t>
  </si>
  <si>
    <t>هزینه صادرات خدمات</t>
  </si>
  <si>
    <t>سایر صادرات کالا و خدمات</t>
  </si>
  <si>
    <t xml:space="preserve"> هزينه هاي اموال و دارائي</t>
  </si>
  <si>
    <t>کارمزد تسهیلات و اوراق بهادار</t>
  </si>
  <si>
    <t>کارمزد تسهیلات ریالی</t>
  </si>
  <si>
    <t>کارمزد تسهیلات ارزی</t>
  </si>
  <si>
    <t>هزینه سود اوراق مشارکت</t>
  </si>
  <si>
    <t>هزینه سود دوره مشارکت در تولید</t>
  </si>
  <si>
    <t>هزینه سود تضمین شده</t>
  </si>
  <si>
    <t>کارمزد تنزیل اسناد خزانه اسلامی</t>
  </si>
  <si>
    <t>کارمزد تعهدات اجاره سرمایه ای</t>
  </si>
  <si>
    <t>سایر سود و کارمزد وامها و تسهیلات بانکی</t>
  </si>
  <si>
    <t>اجاره و كرايه</t>
  </si>
  <si>
    <t>اجاره ساختمان و سایر مستحدثات</t>
  </si>
  <si>
    <t>اجاره زمینها و اراضی</t>
  </si>
  <si>
    <t>اجاره ماشین الات و تجهیزات</t>
  </si>
  <si>
    <t>اجاره نرم افزارها</t>
  </si>
  <si>
    <t>سایر اجاره و کرایه</t>
  </si>
  <si>
    <t>کمک های پرداختی به اشخاص</t>
  </si>
  <si>
    <t>هزینه های مرتبط با کمکهای بلاعوض دریافتی</t>
  </si>
  <si>
    <t>سایر موارد مربوط به یارانه ها و کمکهای بلاعوض</t>
  </si>
  <si>
    <t>حق بيمه</t>
  </si>
  <si>
    <t>حق بيمه كاركنان ( سهم کارفرما)</t>
  </si>
  <si>
    <t>بیمه عمر کارکنان</t>
  </si>
  <si>
    <t>بیمه تکمیل درمان کارکنان</t>
  </si>
  <si>
    <t>حق بیمه مشاغل سخت و زیان آور</t>
  </si>
  <si>
    <t xml:space="preserve">سایر حق بیمه </t>
  </si>
  <si>
    <t>كمك هاي رفاهي كارمندان</t>
  </si>
  <si>
    <t>سبد خوابار ماهیانه</t>
  </si>
  <si>
    <t>سبد ماه مبارک رمضان</t>
  </si>
  <si>
    <t>سبد عید نوروز</t>
  </si>
  <si>
    <t>کمک هزینه البسه</t>
  </si>
  <si>
    <t>کمک هزینه سفر</t>
  </si>
  <si>
    <t>کمک هزینه سفر زیارتی</t>
  </si>
  <si>
    <t>اعیاد مناسبتی</t>
  </si>
  <si>
    <t>کمک هزینه تولد فرزند</t>
  </si>
  <si>
    <t>کمک هزینه ازدواج</t>
  </si>
  <si>
    <t>کمک هزینه فوت</t>
  </si>
  <si>
    <t>کمک هزینه ورزشی</t>
  </si>
  <si>
    <t>اجاره مکان های ورزشی پرسنل</t>
  </si>
  <si>
    <t>برگزاری دوره های ورزشی پرسنل</t>
  </si>
  <si>
    <t>کمک هزینه چکاپ و پزشکی</t>
  </si>
  <si>
    <t>کمک هزینه بیماری های خاص و صعب العلاج</t>
  </si>
  <si>
    <t>کمک هزینه کارمندان دارای فرزند معلول ذهنی و جسمی</t>
  </si>
  <si>
    <t>تکریم پرسنل جانباز</t>
  </si>
  <si>
    <t xml:space="preserve">تکریم خانواده رضوی (فرهنگی،بصیرتی و آموزشی) </t>
  </si>
  <si>
    <t>کمک هزینه تحصیلی</t>
  </si>
  <si>
    <t>کمک هزینه مهدکودک</t>
  </si>
  <si>
    <t>کمک هزینه مشاوره</t>
  </si>
  <si>
    <t>کمک هزینه کتاب و محصولات فرهنگی</t>
  </si>
  <si>
    <t>پاداش پایان خدمت ( ذخیره سنوات )</t>
  </si>
  <si>
    <t>ساير پرداختهاي امور رفاهي پرسنل</t>
  </si>
  <si>
    <t>حقوق ، پاداش و کمکهای رفاهی بازنشستگان</t>
  </si>
  <si>
    <t>حقوق و مزایا</t>
  </si>
  <si>
    <t>عیدی و پاداش</t>
  </si>
  <si>
    <t>هزينه هاي ورزشي</t>
  </si>
  <si>
    <t>عيدي هاي مناسبتي و مرحمتي</t>
  </si>
  <si>
    <t>مصارف موقوفات موضوع 139 ق.م.م</t>
  </si>
  <si>
    <t xml:space="preserve"> امداد و کمک به مستضعفان و آسیب دیدگان</t>
  </si>
  <si>
    <t xml:space="preserve">امور عمرانی و آبادانی  (پروژه های عام المنفعه) </t>
  </si>
  <si>
    <t xml:space="preserve">مراسم تعزیه و اطعام </t>
  </si>
  <si>
    <t>تبلیغات اسلامی، تحقیقات فرهنگی، علمی و دینی</t>
  </si>
  <si>
    <t xml:space="preserve">تعمیر و نگهداری مساجد و اماکن دینی </t>
  </si>
  <si>
    <t xml:space="preserve">مصارف اجرای نیات واقفین </t>
  </si>
  <si>
    <t xml:space="preserve"> اجرای نیات واقفین</t>
  </si>
  <si>
    <t>مصارف عمرانی مرتبط با موقوفات</t>
  </si>
  <si>
    <t xml:space="preserve">نگهداری، بازسازی و احیای موقوفات </t>
  </si>
  <si>
    <t xml:space="preserve">تبدیل به احسن موقوفات </t>
  </si>
  <si>
    <t>سایر مصارف مرتبط با موقوفات</t>
  </si>
  <si>
    <t xml:space="preserve">حق التولیه </t>
  </si>
  <si>
    <t xml:space="preserve">حق النظاره </t>
  </si>
  <si>
    <t xml:space="preserve">حق الزحمه امین موقوفه </t>
  </si>
  <si>
    <t xml:space="preserve">حق الزحمه هیات امناء اماکن مذهبی </t>
  </si>
  <si>
    <t xml:space="preserve">پذیره تنظیم اسناد اجاره اراضی موقوفه </t>
  </si>
  <si>
    <t xml:space="preserve">مال الاجاره ابوابجمعی زمینها و اراضی موقوفات و موهوبات آستان قدس رضوی </t>
  </si>
  <si>
    <t>حق کشیک خدام رسمی</t>
  </si>
  <si>
    <t>مالیات</t>
  </si>
  <si>
    <t>مالیات بر درآمد</t>
  </si>
  <si>
    <t>خسارت پرداختی</t>
  </si>
  <si>
    <t xml:space="preserve"> اضافه برداشت آب چاه ها</t>
  </si>
  <si>
    <t xml:space="preserve"> سازمان تامین اجتماعی </t>
  </si>
  <si>
    <t xml:space="preserve"> سازمان امور مالیاتی </t>
  </si>
  <si>
    <t xml:space="preserve">خسارت تاخیر در انجام تعهدات </t>
  </si>
  <si>
    <t>امور محیط زیست</t>
  </si>
  <si>
    <t>سایر خسارات پرداختی</t>
  </si>
  <si>
    <t>سایر هزینه های تولید</t>
  </si>
  <si>
    <t>مخارج جذب نشده تولید</t>
  </si>
  <si>
    <t>ضایعات عادی تولید</t>
  </si>
  <si>
    <t>انحراف نرخ مواد مصرفی</t>
  </si>
  <si>
    <t>انحراف مقدار مواد مصرفی</t>
  </si>
  <si>
    <t>انحراف نرخ دستمزد</t>
  </si>
  <si>
    <t>انحراف مقدار دستمزد</t>
  </si>
  <si>
    <t>متفرقه</t>
  </si>
  <si>
    <t>هزینه کاهش ارزش موجودی مواد و کالا</t>
  </si>
  <si>
    <t>هزینه کاهش ارزش دارایی ثابت</t>
  </si>
  <si>
    <t>هزینه کاهش ارزش سرمایه گذاریها</t>
  </si>
  <si>
    <t xml:space="preserve">زیان ناشی از تسعیر داراییها و بدهی های ارزی </t>
  </si>
  <si>
    <t xml:space="preserve">زیان شناسایی شده پروژه </t>
  </si>
  <si>
    <t xml:space="preserve">آثار هزینه ای تعدیلات سنواتی سود و زیان انباشته </t>
  </si>
  <si>
    <t>گارانتی محصولات/خدمات پس از فروش</t>
  </si>
  <si>
    <t>هزینه شرکت در مناقصه و مزایده</t>
  </si>
  <si>
    <t>ضایعات غیر عادی تولید</t>
  </si>
  <si>
    <t xml:space="preserve">تلفات دارایی زیستی مولد </t>
  </si>
  <si>
    <t xml:space="preserve">تلفات دارایی زیستی غیر مولد </t>
  </si>
  <si>
    <t xml:space="preserve">زیان ناشی از تسعیر ارز عملیات خارجی </t>
  </si>
  <si>
    <t>هزینه ضمانت نامه آزادراه</t>
  </si>
  <si>
    <t>هزینه های استهلاک دارایی</t>
  </si>
  <si>
    <t>استهلاک  ساختمان و مستحدثات</t>
  </si>
  <si>
    <t>استهلاک ماشین آلات و تجهیزات</t>
  </si>
  <si>
    <t>استهلاک وسایل نقلیه</t>
  </si>
  <si>
    <t>استهلاک تاسیسات</t>
  </si>
  <si>
    <t>استهلاک اثاثیه و منصوبات</t>
  </si>
  <si>
    <t>استهلاک اشجار</t>
  </si>
  <si>
    <t xml:space="preserve">استهلاک تاسیسات چاه ها </t>
  </si>
  <si>
    <t>استهلاک تاسیسات آبرسانی</t>
  </si>
  <si>
    <t>استهلاک نرم افزارها</t>
  </si>
  <si>
    <t xml:space="preserve">استهلاک معادن </t>
  </si>
  <si>
    <t xml:space="preserve">استهلاک شاهراه‌ ها، بندر، خطوط‌ راه آهن‌ و فرودگاه‌ </t>
  </si>
  <si>
    <t xml:space="preserve">استهلاک تاسیسات شاهراه‌ ها، بندر، خطوط‌ راه آهن‌ و فرودگاه‌ </t>
  </si>
  <si>
    <t>سایر هزینه های استهلاک دارایی</t>
  </si>
  <si>
    <t>حق ریشه</t>
  </si>
  <si>
    <t>تملک دارایی مالی</t>
  </si>
  <si>
    <t>حقوق و دستمزد پرداختنی</t>
  </si>
  <si>
    <t>مالیات پرداختنی حقوق</t>
  </si>
  <si>
    <t>سرمایه</t>
  </si>
  <si>
    <t>اندوخته ها</t>
  </si>
  <si>
    <t>خالص تغییرات سود و زيان انباشته</t>
  </si>
  <si>
    <t>مبلغ قابل بازیافت پیمانها</t>
  </si>
  <si>
    <t>سپرده های دریافتنی تجاری</t>
  </si>
  <si>
    <t>اسناد دریافتنی غیرتجاری</t>
  </si>
  <si>
    <t>مصوب 99</t>
  </si>
  <si>
    <t xml:space="preserve">جمع کل </t>
  </si>
  <si>
    <t>مالی</t>
  </si>
  <si>
    <t xml:space="preserve"> تسهیلات مالی</t>
  </si>
  <si>
    <t>نوع عقوق اسلامی ( جعاله )</t>
  </si>
  <si>
    <t>نوع عقوق اسلامی ( مشارکت مدنی )</t>
  </si>
  <si>
    <t>کارمزد تسهیلات مالی</t>
  </si>
  <si>
    <t>جریمه تاخیر تسهیلات</t>
  </si>
  <si>
    <t>تسهیلات مالی جاری</t>
  </si>
  <si>
    <t>تسهیلات مالی غیرجاری</t>
  </si>
  <si>
    <t>حسابها و اسناد پرداختنی</t>
  </si>
  <si>
    <t>حسابها و اسناد پرداختی جاری</t>
  </si>
  <si>
    <t>حسابها و اسناد پرداختی غیر جاری</t>
  </si>
  <si>
    <t>حسابهای پرداختنی تجاری</t>
  </si>
  <si>
    <t>حسابهای پرداختنی غیرتجاری</t>
  </si>
  <si>
    <t>اسناد پرداختنی تجاری</t>
  </si>
  <si>
    <t>اسناد پرداختنی غیرتجاری</t>
  </si>
  <si>
    <t>اسناد پرداختنی غیرتجاری وابسته</t>
  </si>
  <si>
    <t>سپرده بیمه پیمانکاران</t>
  </si>
  <si>
    <t>سپرده بیمه پیمانکاران اشخاص وابسته</t>
  </si>
  <si>
    <t>سپرده حسن انجام کار</t>
  </si>
  <si>
    <t>سپرده حسن انجام کار اشخاص وابسته</t>
  </si>
  <si>
    <t>سپرده مالیات بر ارزش افزوده پرداختنی</t>
  </si>
  <si>
    <t>سپرده مالیات بر ارزش افزوده پرداختنی اشخاص وابسته</t>
  </si>
  <si>
    <t>ساير ماليات پرداختني</t>
  </si>
  <si>
    <t>حق بازنشستگی پرسنل مامور به خدمت</t>
  </si>
  <si>
    <t>سایر کسورات حقوق پرسنل</t>
  </si>
  <si>
    <t>مالیات پیمانکاران</t>
  </si>
  <si>
    <t>مالیات پیمانکاران اشخاص وابسته</t>
  </si>
  <si>
    <t>سپرده شرکت در مزایده</t>
  </si>
  <si>
    <t>واریزی نامشخص</t>
  </si>
  <si>
    <t>حق بیمه عمر و پس انداز پرسنل واحدها و نمایندگی ها</t>
  </si>
  <si>
    <t>تعهدات موقوفاتی</t>
  </si>
  <si>
    <t>اعتبارات مصوب</t>
  </si>
  <si>
    <t>تعهدات بودجه ای به آستان قدس رضوی</t>
  </si>
  <si>
    <t xml:space="preserve">غرامت فوت </t>
  </si>
  <si>
    <t>سایر سپرده ها و ودایع</t>
  </si>
  <si>
    <t>حسابهای پرداختنی</t>
  </si>
  <si>
    <t>اسناد پرداختنی</t>
  </si>
  <si>
    <t>مازاد وضعیت تایید شده بر درآمد پیمانها</t>
  </si>
  <si>
    <t xml:space="preserve">حق التولیه و حق النظاره </t>
  </si>
  <si>
    <t>سایر حسابها و اسناد پرداختی بلند مدت</t>
  </si>
  <si>
    <t>جاري كاركنان</t>
  </si>
  <si>
    <t>جاري مستمري بگيران</t>
  </si>
  <si>
    <t>حسابهای فی مابین با شرکتها و موسسات وابسته</t>
  </si>
  <si>
    <t>حسابهای دریافتنی از دولت و نهادهای عمومی</t>
  </si>
  <si>
    <t>حسابهاي فيمابين با حوزه های سازمانی</t>
  </si>
  <si>
    <t>علی الحسابها</t>
  </si>
  <si>
    <t>علی الحساب موقوفات</t>
  </si>
  <si>
    <t>حسابهای دریافتنی تجاری</t>
  </si>
  <si>
    <t>حسابهای دریافتنی غیر تجاری</t>
  </si>
  <si>
    <t>اعتبارات تخصیص یافته</t>
  </si>
  <si>
    <t>تعهدات بودجه ای عاملیت</t>
  </si>
  <si>
    <t>اسناد دریافتنی تجاری نزد صندوق</t>
  </si>
  <si>
    <t>اسناد دریافتنی تجاری در جریان وصول</t>
  </si>
  <si>
    <t>اسناد دریافتنی تجاری واخواست شده</t>
  </si>
  <si>
    <t>اسناد دریافتنی غیرتجاری نزد صندوق</t>
  </si>
  <si>
    <t>اسناد دریافتنی غیرتجاری در جریان وصول</t>
  </si>
  <si>
    <t>اسناد دریافتنی غیرتجاری واخواست شده</t>
  </si>
  <si>
    <t>اسناد دریافتنی غیرتجاری نزد صندوق اشخاص وابسته</t>
  </si>
  <si>
    <t>اسناد دریافتنی غیرتجاری در جریان وصول اشخاص وابسته</t>
  </si>
  <si>
    <t>اسناد دریافتنی غیرتجاری واخواست شده اشخاص وابسته</t>
  </si>
  <si>
    <t>اسناد خزانه اسلامی دریافتنی</t>
  </si>
  <si>
    <t>اسناد دریافتی تجاری</t>
  </si>
  <si>
    <t>حسابها دریافتنی غیر تجاری</t>
  </si>
  <si>
    <t>سود سهام دریافتنی</t>
  </si>
  <si>
    <t>سایر حسابها و اسناد دریافتنی</t>
  </si>
  <si>
    <t>موجودی نقد</t>
  </si>
  <si>
    <t>صندوق</t>
  </si>
  <si>
    <t>بانکها</t>
  </si>
  <si>
    <t>تنخواه گردانها</t>
  </si>
  <si>
    <t>سایر موجودی نقد</t>
  </si>
  <si>
    <t>سفارشات و پیش پرداخت ها</t>
  </si>
  <si>
    <t>پیش پرداخت مالیات</t>
  </si>
  <si>
    <t>پیش پرداخت های اشخاص وابسته</t>
  </si>
  <si>
    <t>سپرده و سرمایه گذاری ها</t>
  </si>
  <si>
    <t>سپرده و سرمایه گذاری کوتاه مدت</t>
  </si>
  <si>
    <t>سپرده های سرمایه گذاری کوتاه مدت بانکی</t>
  </si>
  <si>
    <t>سرمایه گذاری در سهام شرکتهای بورسی</t>
  </si>
  <si>
    <t>سرمایه گذاری در اوراق مشارکت</t>
  </si>
  <si>
    <t>سرمایه گذاری در سهام سایر شرکتها</t>
  </si>
  <si>
    <t xml:space="preserve"> سرمایه گذاری در سهام شرکتها و موسسات وابسته</t>
  </si>
  <si>
    <t>سرمایه گذاری در سهام شرکتها و موسسات وابسته</t>
  </si>
  <si>
    <t>سپرده های بانکی بلند مدت</t>
  </si>
  <si>
    <t>علی الحساب افزایش سرمایه شرکتها و موسسات وابسته</t>
  </si>
  <si>
    <t>سپرده و سرمایه گذاری بلندمدت</t>
  </si>
  <si>
    <t>ذخیره مالیات بر درآمد</t>
  </si>
  <si>
    <t>ذخیره مزایای پایان خدمت کارکنان</t>
  </si>
  <si>
    <t xml:space="preserve">ذخیره کاهش ارزش موجودی ها </t>
  </si>
  <si>
    <t>ذخیره م م اسناد دریافتنی</t>
  </si>
  <si>
    <t xml:space="preserve">ذخیره م م حسابهای دریافتنی </t>
  </si>
  <si>
    <t>ذخایر بدهی جاری و غیر جاری</t>
  </si>
  <si>
    <t>سایر ذخیره ها</t>
  </si>
  <si>
    <t>سایر بدهی ها</t>
  </si>
  <si>
    <t>پیش دریافت ها</t>
  </si>
  <si>
    <t>پیش دریافت از مشتریان</t>
  </si>
  <si>
    <t>پیش دریافت از کارفرمایان</t>
  </si>
  <si>
    <t>پیش دریافت واگذاری املاک و اموال</t>
  </si>
  <si>
    <t>سایر پیش دریافت ها</t>
  </si>
  <si>
    <t>ذخایر و استهلاک دارایی ها</t>
  </si>
  <si>
    <t>سایر دارایی</t>
  </si>
  <si>
    <t>مالیات پرداختنی</t>
  </si>
  <si>
    <t>سود سهام پرداختنی</t>
  </si>
  <si>
    <t>درآمدهای انتقالی به دوره آتی</t>
  </si>
  <si>
    <t>درآمدهای انتقالی به دوره آتی کوتاه مدت</t>
  </si>
  <si>
    <t>درآمدهای انتقالی به دوره آتی بلندمدت</t>
  </si>
  <si>
    <t>ذخیره مرخصی استفاده نشده کارکنان</t>
  </si>
  <si>
    <t>نقد در راه</t>
  </si>
  <si>
    <t>سایر دارایی ها</t>
  </si>
  <si>
    <t>سپرده نزد بانکها و موسسات اعتباری</t>
  </si>
  <si>
    <t xml:space="preserve">وجه نقد کنار گذاشته شده برای هدف مشخص </t>
  </si>
  <si>
    <t>ودایع</t>
  </si>
  <si>
    <t>زمین</t>
  </si>
  <si>
    <t>ساختمان</t>
  </si>
  <si>
    <t>چاه ها و تاسیسات</t>
  </si>
  <si>
    <t>ماشین آلات و تجهیزات</t>
  </si>
  <si>
    <t>ابزارآلات</t>
  </si>
  <si>
    <t>وسائط نقلیه</t>
  </si>
  <si>
    <t>اثاثیه و منصوبات</t>
  </si>
  <si>
    <t>سیستم های آبیاری قطره ای</t>
  </si>
  <si>
    <t>مسکوکات، کتب خطی و دارایی های ویژه</t>
  </si>
  <si>
    <t>سایر دارایی ثابت</t>
  </si>
  <si>
    <t>دارایی در جریان ساخت / تکمیل</t>
  </si>
  <si>
    <t>سایر مستحدثات</t>
  </si>
  <si>
    <t>سایر دارایی در جریان ساخت</t>
  </si>
  <si>
    <t>دارایی زیستی مولد</t>
  </si>
  <si>
    <t>باغات</t>
  </si>
  <si>
    <t>اشجار</t>
  </si>
  <si>
    <t>دام</t>
  </si>
  <si>
    <t>سایر دارایی زیستی مولد</t>
  </si>
  <si>
    <t>دارایی زیستی در جریان رشد / تکمیل</t>
  </si>
  <si>
    <t>سایر دارایی زیستی در جریان رشد</t>
  </si>
  <si>
    <t>دارایی های ثابت مشهود</t>
  </si>
  <si>
    <t>دارایی های ثابت نامشهود</t>
  </si>
  <si>
    <t>بهای تمام شده دارایی های نامشهود</t>
  </si>
  <si>
    <t>اشتراک آب</t>
  </si>
  <si>
    <t>اشتراک برق</t>
  </si>
  <si>
    <t>اشتراک گاز</t>
  </si>
  <si>
    <t>اشتراک تلفن</t>
  </si>
  <si>
    <t>انشعاب فاضلاب</t>
  </si>
  <si>
    <t>قنوات</t>
  </si>
  <si>
    <t>نرم افزارها</t>
  </si>
  <si>
    <t>سرقفلی</t>
  </si>
  <si>
    <t>سایر دارایی های نامشهود</t>
  </si>
  <si>
    <t>موجودی مواد و کالا</t>
  </si>
  <si>
    <t>موجودی مواد اولیه و کالا(محصول)</t>
  </si>
  <si>
    <t>موجودی قطعات و لوازم یدکی</t>
  </si>
  <si>
    <t>موجودی ضایعات و لوازم اسقاطی</t>
  </si>
  <si>
    <t>موجودی های در راه-مواد</t>
  </si>
  <si>
    <t>موجودی های در راه-کالا</t>
  </si>
  <si>
    <t>موجودی کالای امانی ما نزد دیگران</t>
  </si>
  <si>
    <t>کالای در جریان ساخت-مواد</t>
  </si>
  <si>
    <t>کالای در جریان ساخت-دستمزد</t>
  </si>
  <si>
    <t>کالای در جریان ساخت-سربار</t>
  </si>
  <si>
    <t>دارایی زیستی غیر مولد</t>
  </si>
  <si>
    <t>سایر موجودی مواد و کالا</t>
  </si>
  <si>
    <t>مازادتحقق نیافته تجدید ارزیابی</t>
  </si>
  <si>
    <t xml:space="preserve">درآمد حاصل از فروش </t>
  </si>
  <si>
    <t xml:space="preserve">درآمد حاصل از ساخت املاک و مستغلات </t>
  </si>
  <si>
    <t>درآمد حاصل از ارائه خدمات</t>
  </si>
  <si>
    <t xml:space="preserve">درآمد حاصل از فعالیتهای سرمایه گذاری </t>
  </si>
  <si>
    <t xml:space="preserve">درآمد حاصل از تولیدات کشاورزی و دامپروری </t>
  </si>
  <si>
    <t>درآمد اموال و دارایی ها</t>
  </si>
  <si>
    <t>سایر درآمدها</t>
  </si>
  <si>
    <t>درآمد حاصل از فروش محصولات تولیدی</t>
  </si>
  <si>
    <t xml:space="preserve">درآمد حاصل ازفروش محصولات بازرگانی </t>
  </si>
  <si>
    <t>درآمد حاصل از فروش خدمات</t>
  </si>
  <si>
    <t>درآمد حاصل از فروش اموال اسقاط</t>
  </si>
  <si>
    <t xml:space="preserve">درآمد ناشی از ساخت پروژه </t>
  </si>
  <si>
    <t>درآمد ناشی از آماده سازی اراضی</t>
  </si>
  <si>
    <t xml:space="preserve">درآمد حاصل از خدمات کارمزدی </t>
  </si>
  <si>
    <t>درآمد حاصل از پیمانها</t>
  </si>
  <si>
    <t xml:space="preserve">درآمد حاصل از خدمات فنی، مهندسی و مشاوره ای </t>
  </si>
  <si>
    <t>درآمد حاصل از خدمات  حمل و نقل</t>
  </si>
  <si>
    <t>درآمد حاصل از خدمات فرهنگی</t>
  </si>
  <si>
    <t xml:space="preserve">درآمد حاصل از خدمات فرهنگی </t>
  </si>
  <si>
    <t>درآمد حاصل از خدمات اسکان</t>
  </si>
  <si>
    <t>درآمد حاصل از خدمات ورزشی</t>
  </si>
  <si>
    <t>درآمد حاصل از سرمایه گذاریها</t>
  </si>
  <si>
    <t xml:space="preserve">فروش تولیدات کشاورزی و دامپروری </t>
  </si>
  <si>
    <t xml:space="preserve">ارزش منصفانه تولیدات کشاورزی و دامپروری </t>
  </si>
  <si>
    <t>خالص افزایش ارزش منصفانه داراییهای زیستی غیر مولد</t>
  </si>
  <si>
    <t>بهای تمام شده انتسابی تولیدات کشاورزی و دامپروری</t>
  </si>
  <si>
    <t>موقوفات، نذورات، پذیره، کمکها و هدایا موضوع الف 139 ق. م.م</t>
  </si>
  <si>
    <t>درآمد حاصل از مشارکت در اموال و داراییها</t>
  </si>
  <si>
    <t xml:space="preserve">درآمد حاصل از فروش ضایعات  و محصولات فرعی </t>
  </si>
  <si>
    <t>خالص کسری و اضافی انبار</t>
  </si>
  <si>
    <t xml:space="preserve">درآمد حاصل از تسعیر داراییها و بدهی های ارزی </t>
  </si>
  <si>
    <t xml:space="preserve">سود حاصل از واگذاری داراییها </t>
  </si>
  <si>
    <t>سایر درآمدهای متفرقه</t>
  </si>
  <si>
    <t xml:space="preserve">درآمد فروش داخلی محصولات </t>
  </si>
  <si>
    <t xml:space="preserve">درآمد فروش صادراتی محصولات </t>
  </si>
  <si>
    <t xml:space="preserve">برگشت از فروش داخلی محصولات </t>
  </si>
  <si>
    <t>تخفیفات نقدی فروش داخلی محصولات</t>
  </si>
  <si>
    <t xml:space="preserve">برگشت از فروش صادراتی محصولات </t>
  </si>
  <si>
    <t>تخفیفات نقدی فروش صادراتی محصولات</t>
  </si>
  <si>
    <t xml:space="preserve">درآمد فروش کالاهای خریداری شده </t>
  </si>
  <si>
    <t>درآمد فروش فروشگاه ها</t>
  </si>
  <si>
    <t xml:space="preserve">برگشت از فروش کالاهای خریداری شده </t>
  </si>
  <si>
    <t xml:space="preserve">تخفیفات نقدی فروش کالاهای خریداری شده </t>
  </si>
  <si>
    <t>برگشت از فروش فروشگاه ها</t>
  </si>
  <si>
    <t>تخفیفات نقدی فروش فروشگاه ها</t>
  </si>
  <si>
    <t>درآمدحق الدفن</t>
  </si>
  <si>
    <t>درامد فرش</t>
  </si>
  <si>
    <t>درآمد ساخت پروژه های پیمانی</t>
  </si>
  <si>
    <t>برگشت از درآمد ساخت پروژه های پیمانی</t>
  </si>
  <si>
    <t>تخفیفات نقدی درآمد ساخت پروژه های پیمانی</t>
  </si>
  <si>
    <t xml:space="preserve">درآمد آماده سازی اراضی </t>
  </si>
  <si>
    <t xml:space="preserve">برگشت از درآمد آماده سازی اراضی </t>
  </si>
  <si>
    <t xml:space="preserve">تخفیفات نقدی درآمد آماده سازی اراضی </t>
  </si>
  <si>
    <t xml:space="preserve">درآمد کارمزد حاصل از صدور بیمه نامه ها و ضمانت نامه ها </t>
  </si>
  <si>
    <t xml:space="preserve">درآمد کارمزد حاصل از خرید و فروش سهام </t>
  </si>
  <si>
    <t xml:space="preserve">درآمد کارمزد خدمات کشاورزی </t>
  </si>
  <si>
    <t>درآمد کارمزد خدمات پشتیبانی</t>
  </si>
  <si>
    <t xml:space="preserve">درآمد کارمزد خدمات حمل و نقل </t>
  </si>
  <si>
    <t>درآمد کارمزد خدمات تامین نیروی انسانی</t>
  </si>
  <si>
    <t>درآمد کارمزد ارائه خدمات درمانی(انسانی، حیوانی و گیاهی)وخدمات توانبخشی و حمایتی</t>
  </si>
  <si>
    <t xml:space="preserve">درآمد عوارض ورودی شاهراه‌ ها، بندر، خطوط‌ راه آهن‌ و فرودگاه‌ </t>
  </si>
  <si>
    <t xml:space="preserve">درآمد کارمزد حق مدیریت و نظارت </t>
  </si>
  <si>
    <t xml:space="preserve">درآمد کارمزد سایر خدمات </t>
  </si>
  <si>
    <t xml:space="preserve">برگشت از درآمد حاصل از خدمات کارمزدی </t>
  </si>
  <si>
    <t xml:space="preserve">تخفیفات نقدی درآمد حاصل از خدمات کارمزدی </t>
  </si>
  <si>
    <t>درآمد کار گواهی شده پیمانها</t>
  </si>
  <si>
    <t>درآمد حق مدیریت پیمانها</t>
  </si>
  <si>
    <t>برگشت از درآمد حاصل از پیمانها</t>
  </si>
  <si>
    <t xml:space="preserve">تخفیفات نقدی درآمد حاصل از پیمانها </t>
  </si>
  <si>
    <t>درآمد خدمات نظارت کارگاهی و عالیه</t>
  </si>
  <si>
    <t xml:space="preserve">درآمد خدمات طراحی و امکان سنجی و آزمایشگاهی </t>
  </si>
  <si>
    <t xml:space="preserve">درآمد مدیریت طرح های عمرانی </t>
  </si>
  <si>
    <t xml:space="preserve">درآمد خدمات مشاوره مدیریت </t>
  </si>
  <si>
    <t xml:space="preserve">برگشت از درآمد حاصل از خدمات فنی، مهندسی و مشاوره ای </t>
  </si>
  <si>
    <t xml:space="preserve">تخفیفات نقدی درآمد حاصل از خدمات فنی، مهندسی و مشاوره ای </t>
  </si>
  <si>
    <t>درآمد پارکینگ</t>
  </si>
  <si>
    <t>درآمد محصولات تولیدی حوزه چاپ(چاپ کتب ، نشریات ،محصولات تولیدی و مطبوعات و ...)</t>
  </si>
  <si>
    <t>درآمد خدمات فرهنگی(فروش کتب ، تندیس و ...)</t>
  </si>
  <si>
    <t>قرآن و ادعیه</t>
  </si>
  <si>
    <t>رسانه های صوتی و تصویری</t>
  </si>
  <si>
    <t>شهریه دانشگاه ها ،مدارس و مهدکودک،فوق برنامه های آموزشی</t>
  </si>
  <si>
    <t>حق عضویت کتابخانه ها  و اماکن علمی و فرهنگی</t>
  </si>
  <si>
    <t>حق عضویت موزه ها و اماکن تاریخی</t>
  </si>
  <si>
    <t>درآمد فروش روزنامه و آگهی،سفارشات و مجله</t>
  </si>
  <si>
    <t>درآمد حاصل از خدمات فرهنگی جهت جوانان و نوجوانان</t>
  </si>
  <si>
    <t>اسکان زائر و اردوگاه های تفریحی</t>
  </si>
  <si>
    <t>حق عضویت اماکن ورزشی،اجاره سالن ها و....</t>
  </si>
  <si>
    <t>تخفیفات فعالیت های فرهنگی،آموزشی و ورزشی</t>
  </si>
  <si>
    <t>درآمد سود سهام کوتاه مدت</t>
  </si>
  <si>
    <t>درآمد سود سهام بلند مدت</t>
  </si>
  <si>
    <t xml:space="preserve">درآمد سود حاصل از فروش سهام سرمایه گذاریها </t>
  </si>
  <si>
    <t xml:space="preserve">درآمد حاصل از سود تضمین شده </t>
  </si>
  <si>
    <t>سود سپرده های بانکی</t>
  </si>
  <si>
    <t>سود شرکت ها و موسسات اقتصادی</t>
  </si>
  <si>
    <t>درآمد فروش تولیدات کشاورزی</t>
  </si>
  <si>
    <t>درآمد فروش تولیدات دامپروری</t>
  </si>
  <si>
    <t xml:space="preserve">برگشت از فروش تولیدات کشاورزی </t>
  </si>
  <si>
    <t>تخفیفات نقدی فروش تولیدات کشاورزی</t>
  </si>
  <si>
    <t xml:space="preserve">برگشت از فروش تولیدات دامپروری </t>
  </si>
  <si>
    <t xml:space="preserve">تخفیفات نقدی فروش تولیدات دامپروری </t>
  </si>
  <si>
    <t xml:space="preserve">ارزش منصفانه دارایی های زیستی غیر مولد </t>
  </si>
  <si>
    <t xml:space="preserve">ارزش منصفانه تولیدات دامی </t>
  </si>
  <si>
    <t xml:space="preserve">ارزش منصفانه تولیدات زراعی </t>
  </si>
  <si>
    <t>ارزش منصفانه تولیدات صیفی جات</t>
  </si>
  <si>
    <t>ارزش منصفانه تولیدات باغی</t>
  </si>
  <si>
    <t>ارزش منصفانه تولیدات گلخانه ای</t>
  </si>
  <si>
    <t xml:space="preserve">ارزش منصفانه بذر و نهال </t>
  </si>
  <si>
    <t>ارزش منصفانه تولیدات شیلات و ماکیان</t>
  </si>
  <si>
    <t xml:space="preserve">ارزش منصفانه فرآورده های جنگلی </t>
  </si>
  <si>
    <t xml:space="preserve">بهای تمام شده انتسابی دارایی های زیستی غیر مولد </t>
  </si>
  <si>
    <t xml:space="preserve">بهای تمام شده انتسابی تولیدات دامی </t>
  </si>
  <si>
    <t xml:space="preserve">بهای تمام شده انتسابی تولیدات زراعی </t>
  </si>
  <si>
    <t>بهای تمام شده انتسابی تولیدات صیفی جات</t>
  </si>
  <si>
    <t xml:space="preserve">بهای تمام شده انتسابی تولیدات  باغی </t>
  </si>
  <si>
    <t>بهای تمام شده انتسابی تولیدات گلخانه ای</t>
  </si>
  <si>
    <t xml:space="preserve">بهای تمام شده انتسابی  بذر و نهال </t>
  </si>
  <si>
    <t>بهای تمام شده انتسابی تولیدات شیلات و ماکیان</t>
  </si>
  <si>
    <t xml:space="preserve">بهای تمام شده انتسابی فرآورده های جنگلی </t>
  </si>
  <si>
    <t>درآمد موقوفات عام</t>
  </si>
  <si>
    <t>درآمد موقوفات خاص</t>
  </si>
  <si>
    <t>کمکهای مردمی و درآمد نذورات (نقدی)</t>
  </si>
  <si>
    <t>کمکهای مردمی و درآمد نذورات(غیر نقدی )</t>
  </si>
  <si>
    <t>درآمد موهوبات</t>
  </si>
  <si>
    <t>درآمد حق تقدیمی (پذیره)  املاک موقوفه</t>
  </si>
  <si>
    <t xml:space="preserve">درآمد املاک و مستغلات موقوفات و رقبات </t>
  </si>
  <si>
    <t xml:space="preserve">حق التولیه از موقوفات متصرفی </t>
  </si>
  <si>
    <t>حق التولیه از بقاع متبرکه و اماکن مذهبی</t>
  </si>
  <si>
    <t xml:space="preserve">حق التولیه از موقوفات غیر متصرفی </t>
  </si>
  <si>
    <t xml:space="preserve">عواید موقوفات خاص واقفین </t>
  </si>
  <si>
    <t xml:space="preserve">درآمد مشارکت در تولید محصولات </t>
  </si>
  <si>
    <t>درآمد مشارکت در بهره برداری از آب چاه ها</t>
  </si>
  <si>
    <t xml:space="preserve">درآمد مزارعه املاک </t>
  </si>
  <si>
    <t xml:space="preserve">درآمد اجاره مستغلات </t>
  </si>
  <si>
    <t xml:space="preserve">درآمد اجاره ماشین آلات </t>
  </si>
  <si>
    <t>درآمد حق استفاده از برند و صدور مجوز فعالیت</t>
  </si>
  <si>
    <t xml:space="preserve">درآمد حق استفاده از سایر اموال و دارایی ها </t>
  </si>
  <si>
    <t>درآمد حاصل از فروش ضایعات</t>
  </si>
  <si>
    <t xml:space="preserve">درآمد حاصل از فروش محصولات فرعی </t>
  </si>
  <si>
    <t>اضافی انبارگردانی</t>
  </si>
  <si>
    <t>کسری انبارگردانی</t>
  </si>
  <si>
    <t xml:space="preserve">سود حاصل از فروش مواد اولیه </t>
  </si>
  <si>
    <t xml:space="preserve">سود حاصل از فروش داراییهای ثابت </t>
  </si>
  <si>
    <t>سود حاصل از فروش داراییهای زیستی مولد</t>
  </si>
  <si>
    <t>سود دریافتی حاصل از فروش اقساطی</t>
  </si>
  <si>
    <t xml:space="preserve">درآمد حاصل از خسارات در اجرای تعهدات پیمانکاران </t>
  </si>
  <si>
    <t xml:space="preserve">درآمد حاصل از جبران خسارات پوشش بیمه ای </t>
  </si>
  <si>
    <t xml:space="preserve">درآمد آزمایشگاه </t>
  </si>
  <si>
    <t>درآمد باسکول</t>
  </si>
  <si>
    <t>آب آشامیدنی ( بطری ) و شربت</t>
  </si>
  <si>
    <t>هزینه ثبتی</t>
  </si>
  <si>
    <t>هزینه های قضایی</t>
  </si>
  <si>
    <t>هزینه مطالعات / پژوهش</t>
  </si>
  <si>
    <t>کمک پرداختی جبران خسارات بلاعوض به نهادهای دولتی / عمومی / انقلابی و تشکل ها</t>
  </si>
  <si>
    <t>کمک پرداختی تامین دارایی سرمایه ای بلاعوض به نهادهای دولتی / عمومی / انقلابی و تشکل ها</t>
  </si>
  <si>
    <t>کمک پرداختی جبران ارائه خدمات بلاعوض به نهادهای دولتی / عمومی / انقلابی و تشکل ها</t>
  </si>
  <si>
    <t xml:space="preserve">کمک هزینه تغذیه کارکنان (حق نهاری) </t>
  </si>
  <si>
    <t>تملک دارایی های سرمایه ای</t>
  </si>
  <si>
    <t>تملک دارایی های مالی</t>
  </si>
  <si>
    <t>درآمدها</t>
  </si>
  <si>
    <t>واگذاری دارایی های سرمایه ای</t>
  </si>
  <si>
    <t>واگذاری دارایی های مالی</t>
  </si>
  <si>
    <t>جمع مصارف بودجه</t>
  </si>
  <si>
    <t>جمع منابع بودجه</t>
  </si>
  <si>
    <t>مصــــــارف</t>
  </si>
  <si>
    <t>منـــــــابع</t>
  </si>
  <si>
    <t>درآمد اراضی کشاورزی</t>
  </si>
  <si>
    <t>حق انتقال، نقشه، تفکیک، تجمیع</t>
  </si>
  <si>
    <t>درآمد اجاره اراضی کشاورزی</t>
  </si>
  <si>
    <t>درآمد اراضی مزارعه و امانی کاری</t>
  </si>
  <si>
    <t>سایر</t>
  </si>
  <si>
    <t>فروش آب</t>
  </si>
  <si>
    <t>فروش محصولات کشاورزی</t>
  </si>
  <si>
    <t>در آمد اراضی شهری</t>
  </si>
  <si>
    <t>درآمد حق التقدیمی تغییر در نوع بهره برداری</t>
  </si>
  <si>
    <t>تغییر در نوع بهره برداری</t>
  </si>
  <si>
    <t>حق بهره برداری موقت</t>
  </si>
  <si>
    <t>درآمد حاصل از فروش املاک</t>
  </si>
  <si>
    <t>درآمد حاصل از حق التقدیمی املاک تصرفی</t>
  </si>
  <si>
    <t>اقساط حق التقدیمی</t>
  </si>
  <si>
    <t>تقدیمی ابتدا به ساکن</t>
  </si>
  <si>
    <t>اجاره املاک و مستغلات شهری</t>
  </si>
  <si>
    <t>اجاره موسسات وابسته به ستاد مرکزی</t>
  </si>
  <si>
    <t>اجاره شرکت ها و موسسات اقتصادی</t>
  </si>
  <si>
    <t>دارایی ثابت</t>
  </si>
  <si>
    <t>فروش زمین در سالن واگذاری</t>
  </si>
  <si>
    <t xml:space="preserve">فصل اول : درآمد حاصل از فروش </t>
  </si>
  <si>
    <t xml:space="preserve">هزینه ها : </t>
  </si>
  <si>
    <t xml:space="preserve">فصل دوم : درآمد حاصل از ساخت املاک و مستغلات </t>
  </si>
  <si>
    <t>فصل سوم : درآمد حاصل از ارائه خدمات</t>
  </si>
  <si>
    <t xml:space="preserve">فصل چهارم : درآمد حاصل از فعالیتهای سرمایه گذاری </t>
  </si>
  <si>
    <t xml:space="preserve">فصل پنجم : درآمد حاصل از تولیدات کشاورزی و دامپروری </t>
  </si>
  <si>
    <t>فصل ششم : درآمد اموال و دارایی ها</t>
  </si>
  <si>
    <t>فصل هفتم : سایر درآمدها</t>
  </si>
  <si>
    <t>فصل اول : جبران خدمات كاركنان</t>
  </si>
  <si>
    <t>فصل دوم : استفاده از كالاها و خدمات</t>
  </si>
  <si>
    <t>فصل سوم :  هزينه هاي اموال و دارائي</t>
  </si>
  <si>
    <t>فصل چهارم : یارانه ها و کمکهای بلاعوض</t>
  </si>
  <si>
    <t>فصل پنجم : رفاه اجتماعي</t>
  </si>
  <si>
    <t>فصل ششم : مصارف موقوفاتی</t>
  </si>
  <si>
    <t xml:space="preserve">فصل هفتم : مصرف سرمایه های ثابت ( استهلاک ) </t>
  </si>
  <si>
    <t>فصل هشتم : سایر هزینه ها</t>
  </si>
  <si>
    <t>واگذاری دارایی سرمایه ای</t>
  </si>
  <si>
    <t xml:space="preserve">تملک دارایی سرمایه ای </t>
  </si>
  <si>
    <t>فصل اول : دارایی های ثابت مشهود</t>
  </si>
  <si>
    <t>فصل دوم : دارایی های ثابت نامشهود</t>
  </si>
  <si>
    <t>فصل سوم : موجودی مواد و کالا</t>
  </si>
  <si>
    <t>واگذاری دارایی مالی</t>
  </si>
  <si>
    <t>فصل اول :  تسهیلات مالی</t>
  </si>
  <si>
    <t>فصل دوم : حسابها و اسناد پرداختنی</t>
  </si>
  <si>
    <t>فصل سوم : حسابها و اسناد دریافتی</t>
  </si>
  <si>
    <t>فصل چهارم : سپرده و سرمایه گذاری ها</t>
  </si>
  <si>
    <t>فصل پنجم : سایر بدهی ها</t>
  </si>
  <si>
    <t>فصل ششم : سایر دارایی</t>
  </si>
  <si>
    <t>فصل هفتم :حقوق صاحبان سهام</t>
  </si>
  <si>
    <t>بدهکار ( مصارف )</t>
  </si>
  <si>
    <t>بستانکار ( منابع )</t>
  </si>
  <si>
    <t>برآورد عملکرد 12 ماهه</t>
  </si>
  <si>
    <t>سال 1398</t>
  </si>
  <si>
    <t>سال 1399</t>
  </si>
  <si>
    <t>سال 1400</t>
  </si>
  <si>
    <t>1010101</t>
  </si>
  <si>
    <t>1010102</t>
  </si>
  <si>
    <t>1010103</t>
  </si>
  <si>
    <t>1010104</t>
  </si>
  <si>
    <t>1010105</t>
  </si>
  <si>
    <t>1010106</t>
  </si>
  <si>
    <t>1010107</t>
  </si>
  <si>
    <t>1010199</t>
  </si>
  <si>
    <t>1010201</t>
  </si>
  <si>
    <t>1010202</t>
  </si>
  <si>
    <t>1010203</t>
  </si>
  <si>
    <t>1010204</t>
  </si>
  <si>
    <t>1010205</t>
  </si>
  <si>
    <t>1010206</t>
  </si>
  <si>
    <t>1010207</t>
  </si>
  <si>
    <t>1010208</t>
  </si>
  <si>
    <t>1010209</t>
  </si>
  <si>
    <t>1010210</t>
  </si>
  <si>
    <t>1010211</t>
  </si>
  <si>
    <t>1010212</t>
  </si>
  <si>
    <t>1010213</t>
  </si>
  <si>
    <t>1010214</t>
  </si>
  <si>
    <t>1010215</t>
  </si>
  <si>
    <t>1010216</t>
  </si>
  <si>
    <t>1010217</t>
  </si>
  <si>
    <t>1010218</t>
  </si>
  <si>
    <t>1010219</t>
  </si>
  <si>
    <t>1010299</t>
  </si>
  <si>
    <t>1020101</t>
  </si>
  <si>
    <t>1020102</t>
  </si>
  <si>
    <t>1020103</t>
  </si>
  <si>
    <t>1020104</t>
  </si>
  <si>
    <t>1020105</t>
  </si>
  <si>
    <t>1020199</t>
  </si>
  <si>
    <t>1020201</t>
  </si>
  <si>
    <t>1020202</t>
  </si>
  <si>
    <t>1020203</t>
  </si>
  <si>
    <t>1020204</t>
  </si>
  <si>
    <t>1020205</t>
  </si>
  <si>
    <t>1020299</t>
  </si>
  <si>
    <t>1020301</t>
  </si>
  <si>
    <t>1020302</t>
  </si>
  <si>
    <t>1020303</t>
  </si>
  <si>
    <t>1020304</t>
  </si>
  <si>
    <t>1020305</t>
  </si>
  <si>
    <t>1020306</t>
  </si>
  <si>
    <t>1020307</t>
  </si>
  <si>
    <t>1020308</t>
  </si>
  <si>
    <t>1020309</t>
  </si>
  <si>
    <t>1020310</t>
  </si>
  <si>
    <t>1020311</t>
  </si>
  <si>
    <t>1020312</t>
  </si>
  <si>
    <t>1020313</t>
  </si>
  <si>
    <t>1020314</t>
  </si>
  <si>
    <t>1020315</t>
  </si>
  <si>
    <t>1020399</t>
  </si>
  <si>
    <t>1020401</t>
  </si>
  <si>
    <t>1020402</t>
  </si>
  <si>
    <t>1020499</t>
  </si>
  <si>
    <t>1020501</t>
  </si>
  <si>
    <t>1020502</t>
  </si>
  <si>
    <t>1020503</t>
  </si>
  <si>
    <t>1020599</t>
  </si>
  <si>
    <t>1020601</t>
  </si>
  <si>
    <t>1020602</t>
  </si>
  <si>
    <t>1020603</t>
  </si>
  <si>
    <t>1020604</t>
  </si>
  <si>
    <t>1020605</t>
  </si>
  <si>
    <t>1020606</t>
  </si>
  <si>
    <t>1020607</t>
  </si>
  <si>
    <t>1020699</t>
  </si>
  <si>
    <t>1020701</t>
  </si>
  <si>
    <t>1020702</t>
  </si>
  <si>
    <t>1020703</t>
  </si>
  <si>
    <t>1020704</t>
  </si>
  <si>
    <t>1020705</t>
  </si>
  <si>
    <t>1020706</t>
  </si>
  <si>
    <t>1020707</t>
  </si>
  <si>
    <t>1020708</t>
  </si>
  <si>
    <t>1020709</t>
  </si>
  <si>
    <t>1020710</t>
  </si>
  <si>
    <t>1020711</t>
  </si>
  <si>
    <t>1020712</t>
  </si>
  <si>
    <t>1020799</t>
  </si>
  <si>
    <t>1020801</t>
  </si>
  <si>
    <t>1020802</t>
  </si>
  <si>
    <t>1020803</t>
  </si>
  <si>
    <t>1020804</t>
  </si>
  <si>
    <t>1020899</t>
  </si>
  <si>
    <t>1020901</t>
  </si>
  <si>
    <t>1020902</t>
  </si>
  <si>
    <t>1020903</t>
  </si>
  <si>
    <t>1020904</t>
  </si>
  <si>
    <t>1020999</t>
  </si>
  <si>
    <t>1021001</t>
  </si>
  <si>
    <t>1021002</t>
  </si>
  <si>
    <t>1021003</t>
  </si>
  <si>
    <t>1021004</t>
  </si>
  <si>
    <t>1021006</t>
  </si>
  <si>
    <t>1021007</t>
  </si>
  <si>
    <t>1021099</t>
  </si>
  <si>
    <t>1021101</t>
  </si>
  <si>
    <t>1021102</t>
  </si>
  <si>
    <t>1021103</t>
  </si>
  <si>
    <t>1021104</t>
  </si>
  <si>
    <t>1021105</t>
  </si>
  <si>
    <t>1021106</t>
  </si>
  <si>
    <t>1021107</t>
  </si>
  <si>
    <t>1021108</t>
  </si>
  <si>
    <t>1021109</t>
  </si>
  <si>
    <t>1021110</t>
  </si>
  <si>
    <t>1021199</t>
  </si>
  <si>
    <t>1021201</t>
  </si>
  <si>
    <t>1021202</t>
  </si>
  <si>
    <t>1021203</t>
  </si>
  <si>
    <t>1021204</t>
  </si>
  <si>
    <t>1021205</t>
  </si>
  <si>
    <t>1021206</t>
  </si>
  <si>
    <t>1021299</t>
  </si>
  <si>
    <t>1021301</t>
  </si>
  <si>
    <t>1021302</t>
  </si>
  <si>
    <t>1021303</t>
  </si>
  <si>
    <t>1021304</t>
  </si>
  <si>
    <t>1021305</t>
  </si>
  <si>
    <t>1021306</t>
  </si>
  <si>
    <t>1021307</t>
  </si>
  <si>
    <t>1021308</t>
  </si>
  <si>
    <t>1021309</t>
  </si>
  <si>
    <t>1021310</t>
  </si>
  <si>
    <t>1021311</t>
  </si>
  <si>
    <t>1021312</t>
  </si>
  <si>
    <t>1021313</t>
  </si>
  <si>
    <t>1021314</t>
  </si>
  <si>
    <t>1021315</t>
  </si>
  <si>
    <t>1021399</t>
  </si>
  <si>
    <t>1021401</t>
  </si>
  <si>
    <t>1021402</t>
  </si>
  <si>
    <t>1021499</t>
  </si>
  <si>
    <t>1030101</t>
  </si>
  <si>
    <t>1030102</t>
  </si>
  <si>
    <t>1030103</t>
  </si>
  <si>
    <t>1030104</t>
  </si>
  <si>
    <t>1030105</t>
  </si>
  <si>
    <t>1030106</t>
  </si>
  <si>
    <t>1030107</t>
  </si>
  <si>
    <t>1030199</t>
  </si>
  <si>
    <t>1030201</t>
  </si>
  <si>
    <t>1030202</t>
  </si>
  <si>
    <t>1030203</t>
  </si>
  <si>
    <t>1030204</t>
  </si>
  <si>
    <t>1030299</t>
  </si>
  <si>
    <t>1040101</t>
  </si>
  <si>
    <t>1040102</t>
  </si>
  <si>
    <t>1040103</t>
  </si>
  <si>
    <t>1040104</t>
  </si>
  <si>
    <t>1040105</t>
  </si>
  <si>
    <t>1040199</t>
  </si>
  <si>
    <t>1050101</t>
  </si>
  <si>
    <t>1050102</t>
  </si>
  <si>
    <t>1050103</t>
  </si>
  <si>
    <t>1050104</t>
  </si>
  <si>
    <t>1050199</t>
  </si>
  <si>
    <t>1050201</t>
  </si>
  <si>
    <t>1050202</t>
  </si>
  <si>
    <t>1050203</t>
  </si>
  <si>
    <t>1050204</t>
  </si>
  <si>
    <t>1050205</t>
  </si>
  <si>
    <t>1050206</t>
  </si>
  <si>
    <t>1050207</t>
  </si>
  <si>
    <t>1050208</t>
  </si>
  <si>
    <t>1050209</t>
  </si>
  <si>
    <t>1050210</t>
  </si>
  <si>
    <t>1050211</t>
  </si>
  <si>
    <t>1050212</t>
  </si>
  <si>
    <t>1050213</t>
  </si>
  <si>
    <t>1050214</t>
  </si>
  <si>
    <t>1050215</t>
  </si>
  <si>
    <t>1050216</t>
  </si>
  <si>
    <t>1050217</t>
  </si>
  <si>
    <t>1050218</t>
  </si>
  <si>
    <t>1050219</t>
  </si>
  <si>
    <t>1050220</t>
  </si>
  <si>
    <t>1050221</t>
  </si>
  <si>
    <t>1050222</t>
  </si>
  <si>
    <t>1050223</t>
  </si>
  <si>
    <t>1050224</t>
  </si>
  <si>
    <t>1050225</t>
  </si>
  <si>
    <t>1050299</t>
  </si>
  <si>
    <t>1050301</t>
  </si>
  <si>
    <t>1050302</t>
  </si>
  <si>
    <t>1050303</t>
  </si>
  <si>
    <t>1050304</t>
  </si>
  <si>
    <t>1050305</t>
  </si>
  <si>
    <t>1050399</t>
  </si>
  <si>
    <t>1060101</t>
  </si>
  <si>
    <t>1060102</t>
  </si>
  <si>
    <t>1060103</t>
  </si>
  <si>
    <t>1060104</t>
  </si>
  <si>
    <t>1060105</t>
  </si>
  <si>
    <t>1060201</t>
  </si>
  <si>
    <t>1060301</t>
  </si>
  <si>
    <t>1060302</t>
  </si>
  <si>
    <t>1060401</t>
  </si>
  <si>
    <t>1060402</t>
  </si>
  <si>
    <t>1060403</t>
  </si>
  <si>
    <t>1060404</t>
  </si>
  <si>
    <t>1060405</t>
  </si>
  <si>
    <t>1060406</t>
  </si>
  <si>
    <t>1060407</t>
  </si>
  <si>
    <t>1080101</t>
  </si>
  <si>
    <t>1080201</t>
  </si>
  <si>
    <t>1080202</t>
  </si>
  <si>
    <t>1080203</t>
  </si>
  <si>
    <t>1080204</t>
  </si>
  <si>
    <t>1080205</t>
  </si>
  <si>
    <t>1080206</t>
  </si>
  <si>
    <t>1080299</t>
  </si>
  <si>
    <t>1080301</t>
  </si>
  <si>
    <t>1080302</t>
  </si>
  <si>
    <t>1080303</t>
  </si>
  <si>
    <t>1080304</t>
  </si>
  <si>
    <t>1080305</t>
  </si>
  <si>
    <t>1080306</t>
  </si>
  <si>
    <t>1080401</t>
  </si>
  <si>
    <t>1080402</t>
  </si>
  <si>
    <t>1080403</t>
  </si>
  <si>
    <t>1080404</t>
  </si>
  <si>
    <t>1080405</t>
  </si>
  <si>
    <t>1080406</t>
  </si>
  <si>
    <t>1080407</t>
  </si>
  <si>
    <t>1080408</t>
  </si>
  <si>
    <t>1080409</t>
  </si>
  <si>
    <t>1080410</t>
  </si>
  <si>
    <t>1080411</t>
  </si>
  <si>
    <t>1080412</t>
  </si>
  <si>
    <t>1080413</t>
  </si>
  <si>
    <t>1070101</t>
  </si>
  <si>
    <t>1070102</t>
  </si>
  <si>
    <t>1070103</t>
  </si>
  <si>
    <t>1070104</t>
  </si>
  <si>
    <t>1070105</t>
  </si>
  <si>
    <t>1070106</t>
  </si>
  <si>
    <t>1070107</t>
  </si>
  <si>
    <t>1070108</t>
  </si>
  <si>
    <t>1070109</t>
  </si>
  <si>
    <t>1070110</t>
  </si>
  <si>
    <t>1070111</t>
  </si>
  <si>
    <t>1070112</t>
  </si>
  <si>
    <t>1070199</t>
  </si>
  <si>
    <t>انتخاب فصل / ماده / جزء ماده</t>
  </si>
  <si>
    <t xml:space="preserve">عنوان مدیریت :        </t>
  </si>
  <si>
    <t>پیشنهادی سال 1400</t>
  </si>
  <si>
    <t>کد درآمد</t>
  </si>
  <si>
    <t>کد هزینه</t>
  </si>
  <si>
    <t>2010101</t>
  </si>
  <si>
    <t>2010102</t>
  </si>
  <si>
    <t>2010103</t>
  </si>
  <si>
    <t>2010104</t>
  </si>
  <si>
    <t>2010105</t>
  </si>
  <si>
    <t>2010106</t>
  </si>
  <si>
    <t>2010201</t>
  </si>
  <si>
    <t>2010202</t>
  </si>
  <si>
    <t>2010203</t>
  </si>
  <si>
    <t>2010204</t>
  </si>
  <si>
    <t>2010205</t>
  </si>
  <si>
    <t>2010206</t>
  </si>
  <si>
    <t>2010301</t>
  </si>
  <si>
    <t>2010401</t>
  </si>
  <si>
    <t>2010501</t>
  </si>
  <si>
    <t>2020101</t>
  </si>
  <si>
    <t>2020102</t>
  </si>
  <si>
    <t>2020103</t>
  </si>
  <si>
    <t>2020201</t>
  </si>
  <si>
    <t>2020202</t>
  </si>
  <si>
    <t>2020203</t>
  </si>
  <si>
    <t>2020204</t>
  </si>
  <si>
    <t>2020301</t>
  </si>
  <si>
    <t>2020302</t>
  </si>
  <si>
    <t>2020401</t>
  </si>
  <si>
    <t>2020402</t>
  </si>
  <si>
    <t>2020403</t>
  </si>
  <si>
    <t>2020404</t>
  </si>
  <si>
    <t>2020501</t>
  </si>
  <si>
    <t>2020502</t>
  </si>
  <si>
    <t>2020503</t>
  </si>
  <si>
    <t>2030101</t>
  </si>
  <si>
    <t>2030102</t>
  </si>
  <si>
    <t>2030103</t>
  </si>
  <si>
    <t>2030104</t>
  </si>
  <si>
    <t>2030105</t>
  </si>
  <si>
    <t>2030106</t>
  </si>
  <si>
    <t>2030107</t>
  </si>
  <si>
    <t>2030108</t>
  </si>
  <si>
    <t>2030109</t>
  </si>
  <si>
    <t>2030110</t>
  </si>
  <si>
    <t>2030111</t>
  </si>
  <si>
    <t>2030112</t>
  </si>
  <si>
    <t>2030201</t>
  </si>
  <si>
    <t>2030202</t>
  </si>
  <si>
    <t>2030203</t>
  </si>
  <si>
    <t>2030204</t>
  </si>
  <si>
    <t>2030301</t>
  </si>
  <si>
    <t>2030302</t>
  </si>
  <si>
    <t>2030303</t>
  </si>
  <si>
    <t>2030304</t>
  </si>
  <si>
    <t>2030305</t>
  </si>
  <si>
    <t>2030306</t>
  </si>
  <si>
    <t>2030401</t>
  </si>
  <si>
    <t>2030501</t>
  </si>
  <si>
    <t>2030502</t>
  </si>
  <si>
    <t>2030503</t>
  </si>
  <si>
    <t>2030504</t>
  </si>
  <si>
    <t>2030505</t>
  </si>
  <si>
    <t>2030506</t>
  </si>
  <si>
    <t>2030507</t>
  </si>
  <si>
    <t>2030508</t>
  </si>
  <si>
    <t>2030509</t>
  </si>
  <si>
    <t>2030601</t>
  </si>
  <si>
    <t>2030701</t>
  </si>
  <si>
    <t>2030510</t>
  </si>
  <si>
    <t>2040101</t>
  </si>
  <si>
    <t>2040102</t>
  </si>
  <si>
    <t>2040103</t>
  </si>
  <si>
    <t>2040104</t>
  </si>
  <si>
    <t>2040105</t>
  </si>
  <si>
    <t>2040106</t>
  </si>
  <si>
    <t>2050101</t>
  </si>
  <si>
    <t>2050102</t>
  </si>
  <si>
    <t>2050103</t>
  </si>
  <si>
    <t>2050104</t>
  </si>
  <si>
    <t>2050105</t>
  </si>
  <si>
    <t>2050106</t>
  </si>
  <si>
    <t>2050501</t>
  </si>
  <si>
    <t>2050502</t>
  </si>
  <si>
    <t>2050503</t>
  </si>
  <si>
    <t>2050599</t>
  </si>
  <si>
    <t>2050505</t>
  </si>
  <si>
    <t>2050506</t>
  </si>
  <si>
    <t>2050201</t>
  </si>
  <si>
    <t>2050202</t>
  </si>
  <si>
    <t>2050203</t>
  </si>
  <si>
    <t>2050204</t>
  </si>
  <si>
    <t>2050205</t>
  </si>
  <si>
    <t>2050206</t>
  </si>
  <si>
    <t>2050207</t>
  </si>
  <si>
    <t>2050208</t>
  </si>
  <si>
    <t>2050209</t>
  </si>
  <si>
    <t>2050301</t>
  </si>
  <si>
    <t>2050401</t>
  </si>
  <si>
    <t>2050402</t>
  </si>
  <si>
    <t>2050403</t>
  </si>
  <si>
    <t>2050404</t>
  </si>
  <si>
    <t>2050405</t>
  </si>
  <si>
    <t>2050406</t>
  </si>
  <si>
    <t>2050407</t>
  </si>
  <si>
    <t>2050408</t>
  </si>
  <si>
    <t>2050409</t>
  </si>
  <si>
    <t>2060101</t>
  </si>
  <si>
    <t>2060102</t>
  </si>
  <si>
    <t>2060103</t>
  </si>
  <si>
    <t>2060104</t>
  </si>
  <si>
    <t>2060105</t>
  </si>
  <si>
    <t>2060106</t>
  </si>
  <si>
    <t>2060107</t>
  </si>
  <si>
    <t>2060201</t>
  </si>
  <si>
    <t>2060202</t>
  </si>
  <si>
    <t>2060203</t>
  </si>
  <si>
    <t>2060204</t>
  </si>
  <si>
    <t>2060301</t>
  </si>
  <si>
    <t>2060302</t>
  </si>
  <si>
    <t>2060303</t>
  </si>
  <si>
    <t>2060304</t>
  </si>
  <si>
    <t>2060305</t>
  </si>
  <si>
    <t>2060306</t>
  </si>
  <si>
    <t>2060307</t>
  </si>
  <si>
    <t>2070101</t>
  </si>
  <si>
    <t>2070102</t>
  </si>
  <si>
    <t>2070201</t>
  </si>
  <si>
    <t>2070202</t>
  </si>
  <si>
    <t>2070301</t>
  </si>
  <si>
    <t>2070401</t>
  </si>
  <si>
    <t>2070402</t>
  </si>
  <si>
    <t>2070403</t>
  </si>
  <si>
    <t>2070404</t>
  </si>
  <si>
    <t>2070501</t>
  </si>
  <si>
    <t>2070502</t>
  </si>
  <si>
    <t>2070503</t>
  </si>
  <si>
    <t>2070504</t>
  </si>
  <si>
    <t>2070599</t>
  </si>
  <si>
    <t>برآورد تحقق 12 ماهه</t>
  </si>
  <si>
    <t>تحقق 8 ماهه</t>
  </si>
  <si>
    <t>3010101</t>
  </si>
  <si>
    <t>3010102</t>
  </si>
  <si>
    <t>3010103</t>
  </si>
  <si>
    <t>3010104</t>
  </si>
  <si>
    <t>3010105</t>
  </si>
  <si>
    <t>3010106</t>
  </si>
  <si>
    <t>3010107</t>
  </si>
  <si>
    <t>3010108</t>
  </si>
  <si>
    <t>3010109</t>
  </si>
  <si>
    <t>3010110</t>
  </si>
  <si>
    <t>3010199</t>
  </si>
  <si>
    <t>3010201</t>
  </si>
  <si>
    <t>3010202</t>
  </si>
  <si>
    <t>3010203</t>
  </si>
  <si>
    <t>3010204</t>
  </si>
  <si>
    <t>3010205</t>
  </si>
  <si>
    <t>3010299</t>
  </si>
  <si>
    <t>3010301</t>
  </si>
  <si>
    <t>3010302</t>
  </si>
  <si>
    <t>3010303</t>
  </si>
  <si>
    <t>3010399</t>
  </si>
  <si>
    <t>3010401</t>
  </si>
  <si>
    <t>3010402</t>
  </si>
  <si>
    <t>3010403</t>
  </si>
  <si>
    <t>3010499</t>
  </si>
  <si>
    <t>3020101</t>
  </si>
  <si>
    <t>3020102</t>
  </si>
  <si>
    <t>3020103</t>
  </si>
  <si>
    <t>3020104</t>
  </si>
  <si>
    <t>3020105</t>
  </si>
  <si>
    <t>3020106</t>
  </si>
  <si>
    <t>3020107</t>
  </si>
  <si>
    <t>3020108</t>
  </si>
  <si>
    <t>3020109</t>
  </si>
  <si>
    <t>3020199</t>
  </si>
  <si>
    <t>3030101</t>
  </si>
  <si>
    <t>3030201</t>
  </si>
  <si>
    <t>3030301</t>
  </si>
  <si>
    <t>3030401</t>
  </si>
  <si>
    <t>3030501</t>
  </si>
  <si>
    <t>3030601</t>
  </si>
  <si>
    <t>3030701</t>
  </si>
  <si>
    <t>3030801</t>
  </si>
  <si>
    <t>3030901</t>
  </si>
  <si>
    <t>3031001</t>
  </si>
  <si>
    <t>3039999</t>
  </si>
  <si>
    <t>4010101</t>
  </si>
  <si>
    <t>4010102</t>
  </si>
  <si>
    <t>4010103</t>
  </si>
  <si>
    <t>4010104</t>
  </si>
  <si>
    <t>4010201</t>
  </si>
  <si>
    <t>4010202</t>
  </si>
  <si>
    <t>4010203</t>
  </si>
  <si>
    <t>4010204</t>
  </si>
  <si>
    <t>4020101</t>
  </si>
  <si>
    <t>4020102</t>
  </si>
  <si>
    <t>4020103</t>
  </si>
  <si>
    <t>4020104</t>
  </si>
  <si>
    <t>4020105</t>
  </si>
  <si>
    <t>4020106</t>
  </si>
  <si>
    <t>4020107</t>
  </si>
  <si>
    <t>4020108</t>
  </si>
  <si>
    <t>4020109</t>
  </si>
  <si>
    <t>4020110</t>
  </si>
  <si>
    <t>4020111</t>
  </si>
  <si>
    <t>4020112</t>
  </si>
  <si>
    <t>4020113</t>
  </si>
  <si>
    <t>4020114</t>
  </si>
  <si>
    <t>4020115</t>
  </si>
  <si>
    <t>4020116</t>
  </si>
  <si>
    <t>4020117</t>
  </si>
  <si>
    <t>4020118</t>
  </si>
  <si>
    <t>4020119</t>
  </si>
  <si>
    <t>4020120</t>
  </si>
  <si>
    <t>4020121</t>
  </si>
  <si>
    <t>4020122</t>
  </si>
  <si>
    <t>4020123</t>
  </si>
  <si>
    <t>4020124</t>
  </si>
  <si>
    <t>4020125</t>
  </si>
  <si>
    <t>4020199</t>
  </si>
  <si>
    <t>4020201</t>
  </si>
  <si>
    <t>4020202</t>
  </si>
  <si>
    <t>4020203</t>
  </si>
  <si>
    <t>4020204</t>
  </si>
  <si>
    <t>4020299</t>
  </si>
  <si>
    <t>4070101</t>
  </si>
  <si>
    <t>4070201</t>
  </si>
  <si>
    <t>4070301</t>
  </si>
  <si>
    <t>4070401</t>
  </si>
  <si>
    <t>4060101</t>
  </si>
  <si>
    <t>4060102</t>
  </si>
  <si>
    <t>4060103</t>
  </si>
  <si>
    <t>4060104</t>
  </si>
  <si>
    <t>4060199</t>
  </si>
  <si>
    <t>4030101</t>
  </si>
  <si>
    <t>4030102</t>
  </si>
  <si>
    <t>4030103</t>
  </si>
  <si>
    <t>4030104</t>
  </si>
  <si>
    <t>4030105</t>
  </si>
  <si>
    <t>4030106</t>
  </si>
  <si>
    <t>4030107</t>
  </si>
  <si>
    <t>4030108</t>
  </si>
  <si>
    <t>4030109</t>
  </si>
  <si>
    <t>4030110</t>
  </si>
  <si>
    <t>4030111</t>
  </si>
  <si>
    <t>4030112</t>
  </si>
  <si>
    <t>4030113</t>
  </si>
  <si>
    <t>4030114</t>
  </si>
  <si>
    <t>4030115</t>
  </si>
  <si>
    <t>4030116</t>
  </si>
  <si>
    <t>4030117</t>
  </si>
  <si>
    <t>4030118</t>
  </si>
  <si>
    <t>4030119</t>
  </si>
  <si>
    <t>4030120</t>
  </si>
  <si>
    <t>4030121</t>
  </si>
  <si>
    <t>4030122</t>
  </si>
  <si>
    <t>4030123</t>
  </si>
  <si>
    <t>4030201</t>
  </si>
  <si>
    <t>4030202</t>
  </si>
  <si>
    <t>4030203</t>
  </si>
  <si>
    <t>4030204</t>
  </si>
  <si>
    <t>4030205</t>
  </si>
  <si>
    <t>4030206</t>
  </si>
  <si>
    <t>4030207</t>
  </si>
  <si>
    <t>4030208</t>
  </si>
  <si>
    <t>4030299</t>
  </si>
  <si>
    <t>4060201</t>
  </si>
  <si>
    <t>4060202</t>
  </si>
  <si>
    <t>4060203</t>
  </si>
  <si>
    <t>4040101</t>
  </si>
  <si>
    <t>4040102</t>
  </si>
  <si>
    <t>4040103</t>
  </si>
  <si>
    <t>4040104</t>
  </si>
  <si>
    <t>4040105</t>
  </si>
  <si>
    <t>4040201</t>
  </si>
  <si>
    <t>4040202</t>
  </si>
  <si>
    <t>4040203</t>
  </si>
  <si>
    <t>4040204</t>
  </si>
  <si>
    <t>4040205</t>
  </si>
  <si>
    <t>4040206</t>
  </si>
  <si>
    <t>4050101</t>
  </si>
  <si>
    <t>4050102</t>
  </si>
  <si>
    <t>4050103</t>
  </si>
  <si>
    <t>4050104</t>
  </si>
  <si>
    <t>4050105</t>
  </si>
  <si>
    <t>4050106</t>
  </si>
  <si>
    <t>4050107</t>
  </si>
  <si>
    <t>4050201</t>
  </si>
  <si>
    <t>4050301</t>
  </si>
  <si>
    <t>4050401</t>
  </si>
  <si>
    <t>4050402</t>
  </si>
  <si>
    <t>4050501</t>
  </si>
  <si>
    <t>4050502</t>
  </si>
  <si>
    <t>4050503</t>
  </si>
  <si>
    <t>4050599</t>
  </si>
  <si>
    <t>4060301</t>
  </si>
  <si>
    <t>4060302</t>
  </si>
  <si>
    <t>4060303</t>
  </si>
  <si>
    <t>4060401</t>
  </si>
  <si>
    <t>برنامه 2</t>
  </si>
  <si>
    <t>برنامه 3</t>
  </si>
  <si>
    <t>برنامه 1</t>
  </si>
  <si>
    <t>برنامه</t>
  </si>
  <si>
    <t>شرح برنامه و خدمت</t>
  </si>
  <si>
    <t>فرم شماره 1 ( برنامه و خدمت ) : بودجه پیشنهادی سال 1400</t>
  </si>
  <si>
    <t>حجم</t>
  </si>
  <si>
    <t>نرخ / ریال</t>
  </si>
  <si>
    <t>مبلغ پیشنهادی بودجه 1400</t>
  </si>
  <si>
    <t>مبلغ پیشنهادی بودجه</t>
  </si>
  <si>
    <t>درآمد اختصاصی</t>
  </si>
  <si>
    <t>محل تامین</t>
  </si>
  <si>
    <t>اختصاصی</t>
  </si>
  <si>
    <t xml:space="preserve">هزینه </t>
  </si>
  <si>
    <t xml:space="preserve">مصوب </t>
  </si>
  <si>
    <t>جمع کل بودجه مصارف</t>
  </si>
  <si>
    <t>جمع یارانه مصارف</t>
  </si>
  <si>
    <t>مبلغ یارانه</t>
  </si>
  <si>
    <t>فرم  شماره 6 - هزینه ها : بودجه پیشنهادی سال 1400</t>
  </si>
  <si>
    <t>فرم شماره 7 - درآمدها : بودجه پیشنهادی سال 1400</t>
  </si>
  <si>
    <t>فرم شماره 8 - دارایی سرمایه ای: بودجه پیشنهادی سال 1400</t>
  </si>
  <si>
    <t>فرم شماره 9 - دارایی مالی : بودجه پیشنهادی سال 1400</t>
  </si>
  <si>
    <t>بیمه</t>
  </si>
  <si>
    <t xml:space="preserve"> بیمه ساختمان، تاسیسات و مستحدثات </t>
  </si>
  <si>
    <t xml:space="preserve">بیمه ماشین آلات و تجهیزات </t>
  </si>
  <si>
    <t xml:space="preserve"> بیمه وسایل نقلیه</t>
  </si>
  <si>
    <t>بیمه تجهیزات رایانه ای و مخابراتی</t>
  </si>
  <si>
    <t>بیمه مسئولیت مدنی</t>
  </si>
  <si>
    <t xml:space="preserve">بیمه تمام خطر </t>
  </si>
  <si>
    <t xml:space="preserve">حق بیمه پیمانها </t>
  </si>
  <si>
    <t>بیمه موجودی انبارها</t>
  </si>
  <si>
    <t xml:space="preserve">بیمه محصولات کشاورزی و باغی </t>
  </si>
  <si>
    <t>بیمه داراییهای زیستی مولد</t>
  </si>
  <si>
    <t>سایر بیمه نامه ها</t>
  </si>
  <si>
    <t>بازخرید مرخصی ( ذخیره مرخصی )</t>
  </si>
  <si>
    <t>كمك هزينه مزدوجين و فوت شدگان</t>
  </si>
  <si>
    <t>سبد غیر نقد</t>
  </si>
  <si>
    <t>حق الجلسه</t>
  </si>
  <si>
    <t>خسارت و عوارض پرداختی</t>
  </si>
  <si>
    <t>عوارض ها</t>
  </si>
  <si>
    <t>تخفیفات نفدی حاصل از فروش حق الدفن</t>
  </si>
  <si>
    <t>2010302</t>
  </si>
  <si>
    <t>برگشت از درآمد حق الدفن</t>
  </si>
  <si>
    <t>2010303</t>
  </si>
  <si>
    <t>تخفیفات نفدی حاصل از فروش فرش</t>
  </si>
  <si>
    <t>2010402</t>
  </si>
  <si>
    <t>برگشت از درآمد حاصل از فروش فرش</t>
  </si>
  <si>
    <t>2010403</t>
  </si>
  <si>
    <t>تخفیفات نقدی حاصل از فروش زمین و ..</t>
  </si>
  <si>
    <t>2020405</t>
  </si>
  <si>
    <t>برگشت درآمد حاصل از فروش زمین و ..</t>
  </si>
  <si>
    <t>2020406</t>
  </si>
  <si>
    <t>برگشت از درآمد حاصل از خدمات پارکینگ و حمل و نقل</t>
  </si>
  <si>
    <t>2030402</t>
  </si>
  <si>
    <t>تخفیفات نقدی درآمد حاصل از خدمات پارکینگ و حمل و نقل</t>
  </si>
  <si>
    <t>2030403</t>
  </si>
  <si>
    <t>تخفیفات نقدی حاصل خدمات فرهنگی (محصولات تولیدی ، چاپ کتب و ادعیه و..)</t>
  </si>
  <si>
    <t>برگشت از درآمد حاصل خدمات فرهنگی (محصولات تولیدی ، چاپ کتب و ادعیه و..)</t>
  </si>
  <si>
    <t>تخفیفات نقدی درآمد حاصل از شهریه ، مدارس، مهدکودک  و فوق برنامه های آموزشی</t>
  </si>
  <si>
    <t>برگشت از  درآمد حاصل از شهریه ، مدارس، مهدکودک  و فوق برنامه های آموزشی</t>
  </si>
  <si>
    <t>2030511</t>
  </si>
  <si>
    <t>تخفیفات نقدی حاصل از حق عضویت ها</t>
  </si>
  <si>
    <t>2030512</t>
  </si>
  <si>
    <t>برگشت از درآمد حاصل از حق عضویت ها</t>
  </si>
  <si>
    <t>2030513</t>
  </si>
  <si>
    <t>2030514</t>
  </si>
  <si>
    <t>تخفیفات نقدی حاصل از فروش روزنامه و آگهی،سفارشات و مجله</t>
  </si>
  <si>
    <t>2030515</t>
  </si>
  <si>
    <t>برگشت از درآمد حاصل از فروش روزنامه و آگهی،سفارشات و مجله</t>
  </si>
  <si>
    <t>2030516</t>
  </si>
  <si>
    <t>2030517</t>
  </si>
  <si>
    <t>تخفیفات نقدی درآمد حاصل از خدمات فرهنگی جهت جوانان و نوجوانان</t>
  </si>
  <si>
    <t>2030518</t>
  </si>
  <si>
    <t>برگشت از درآمد حاصل از خدمات فرهنگی جهت جوانان و نوجوانان</t>
  </si>
  <si>
    <t>2030519</t>
  </si>
  <si>
    <t>تخفیفات نقدی درآمد حاصل خدمات اسکان و اردوگاه های تفریحی</t>
  </si>
  <si>
    <t>2030602</t>
  </si>
  <si>
    <t>برگشت از درآمد حاصل خدمات اسکان و اردوگاه های تفریحی</t>
  </si>
  <si>
    <t>2030603</t>
  </si>
  <si>
    <t>تخفیفات نقدی حاصل از درآمد حق عضویت اماکن ورزشی،اجاره سالن ها و....</t>
  </si>
  <si>
    <t>2030702</t>
  </si>
  <si>
    <t>برگشت از درآمد حاصل  ازحق عضویت اماکن ورزشی،اجاره سالن ها و....</t>
  </si>
  <si>
    <t>2030703</t>
  </si>
  <si>
    <t>برگشت از فروش محصولات کشاورزی  و ...</t>
  </si>
  <si>
    <t>2050507</t>
  </si>
  <si>
    <t>تخفیفات نقدی فروش محصولات کشاورزی و ...</t>
  </si>
  <si>
    <t>2050508</t>
  </si>
  <si>
    <t>تخفیفات نفدی حاصل از فروش ضایعات و ...</t>
  </si>
  <si>
    <t>2070103</t>
  </si>
  <si>
    <t>برگشت از درآمد حاصل از فروش ضایعات و....</t>
  </si>
  <si>
    <t>2070104</t>
  </si>
  <si>
    <t>تملک دارایی سرمایه ای و مالی</t>
  </si>
  <si>
    <t>واگذاری دارایی مالی و سرمایه ای</t>
  </si>
  <si>
    <t>بودجه مصارف</t>
  </si>
  <si>
    <t>بودجه کل</t>
  </si>
  <si>
    <t>جمع یارانه کل</t>
  </si>
  <si>
    <t>هزینه</t>
  </si>
  <si>
    <t>حسابها و اسناد دریافتنی</t>
  </si>
  <si>
    <t>حسابها و اسناد دریافتنی جاری</t>
  </si>
  <si>
    <t>حسابها و اسناد دریافتنی غیر جاری</t>
  </si>
  <si>
    <t>انجام سفارشات چاپی</t>
  </si>
  <si>
    <t>سفارشات چاپی</t>
  </si>
  <si>
    <t>تولید روزنامه قدس</t>
  </si>
  <si>
    <t>قدس آنلاین</t>
  </si>
  <si>
    <t>موسسه فرهنگی قدس</t>
  </si>
  <si>
    <t>مرکز رسانه</t>
  </si>
  <si>
    <t>نسخه</t>
  </si>
  <si>
    <t>تعداد قرارداد</t>
  </si>
  <si>
    <t>تولید و انتشار محتوای مطبوعاتی مجازی</t>
  </si>
  <si>
    <t>تبلیغات محیطی قدس</t>
  </si>
  <si>
    <t>تبلیغات محیطی و تلوزیون شهری</t>
  </si>
  <si>
    <t xml:space="preserve">تولید , چاپ و انتشار و توزیع محتوای مطبوعاتی مکتوب </t>
  </si>
  <si>
    <t>تولید روزنامه قدس و ضمائم</t>
  </si>
  <si>
    <t xml:space="preserve">عنوان بنیاد / سازمان / معاونت ستادی :   موسسه فرهنگی قدس     </t>
  </si>
  <si>
    <t>تبلیغات محیطی</t>
  </si>
  <si>
    <t>ماشین آلات و تجهیزات فنی</t>
  </si>
  <si>
    <t>تعداد بازدید</t>
  </si>
  <si>
    <t>مواد اولیه</t>
  </si>
  <si>
    <t>خرید پلیت</t>
  </si>
  <si>
    <t>خرید مرکب</t>
  </si>
  <si>
    <t>خرید سایر مواد مصرفی تولید</t>
  </si>
  <si>
    <t>فرم شماره 2 - خلاصه بودجه کل مرکز رسانه ( موسسه فرهنگی قدس )</t>
  </si>
  <si>
    <t>فرم شماره 3 - خلاصه بودجه درآمد و هزینه مرکز رسانه ( موسسه فرهنگی قدس )</t>
  </si>
  <si>
    <t>فرم شماره 4- خلاصه بودجه واگذاری و تملک دارایی سرمایه ای  مرکز رسانه ( موسسه فرهنگی قدس )</t>
  </si>
  <si>
    <t>فرم شماره 5- خلاصه بودجه واگذاری و تملک دارایی مالی  مرکز رسانه ( موسسه فرهنگی قدس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</si>
</sst>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charset val="178"/>
      <scheme val="minor"/>
    </font>
    <font>
      <sz val="10"/>
      <color theme="1"/>
      <name val="B Nazanin"/>
      <family val="2"/>
      <charset val="178"/>
    </font>
    <font>
      <b/>
      <sz val="16"/>
      <color theme="1"/>
      <name val="B Nazanin"/>
      <family val="2"/>
      <charset val="178"/>
    </font>
    <font>
      <b/>
      <sz val="12"/>
      <color theme="1"/>
      <name val="B Nazanin"/>
      <family val="2"/>
      <charset val="178"/>
    </font>
    <font>
      <b/>
      <sz val="18"/>
      <color theme="1"/>
      <name val="B Nazanin"/>
      <family val="2"/>
      <charset val="178"/>
    </font>
    <font>
      <b/>
      <sz val="22"/>
      <color theme="1"/>
      <name val="B Titr"/>
      <family val="2"/>
      <charset val="178"/>
    </font>
    <font>
      <b/>
      <sz val="22"/>
      <color theme="1"/>
      <name val="B Nazanin"/>
      <family val="2"/>
      <charset val="178"/>
    </font>
    <font>
      <sz val="22"/>
      <color theme="1"/>
      <name val="B Nazanin"/>
      <family val="2"/>
      <charset val="178"/>
    </font>
    <font>
      <b/>
      <sz val="20"/>
      <color theme="1"/>
      <name val="B Nazanin"/>
      <family val="2"/>
      <charset val="178"/>
    </font>
    <font>
      <sz val="10"/>
      <name val="Arial"/>
      <family val="2"/>
    </font>
    <font>
      <b/>
      <sz val="12"/>
      <color theme="1"/>
      <name val="B Titr"/>
      <family val="2"/>
      <charset val="178"/>
    </font>
    <font>
      <sz val="14"/>
      <color theme="1"/>
      <name val="B Titr"/>
      <family val="2"/>
      <charset val="178"/>
    </font>
    <font>
      <sz val="11"/>
      <color rgb="FF000000"/>
      <name val="Calibri"/>
      <family val="2"/>
    </font>
    <font>
      <sz val="12"/>
      <color theme="1"/>
      <name val="B Titr"/>
      <family val="2"/>
      <charset val="178"/>
    </font>
    <font>
      <u val="double"/>
      <sz val="12"/>
      <color theme="1"/>
      <name val="B Titr"/>
      <family val="2"/>
      <charset val="178"/>
    </font>
    <font>
      <u val="double"/>
      <sz val="14"/>
      <color theme="1"/>
      <name val="B Titr"/>
      <family val="2"/>
      <charset val="178"/>
    </font>
    <font>
      <sz val="14"/>
      <color theme="1"/>
      <name val="Calibri"/>
      <family val="2"/>
      <charset val="178"/>
      <scheme val="minor"/>
    </font>
    <font>
      <sz val="14"/>
      <color theme="1" tint="4.9989318521683403E-2"/>
      <name val="B Titr"/>
      <family val="2"/>
      <charset val="178"/>
    </font>
    <font>
      <sz val="15"/>
      <color theme="1"/>
      <name val="B Titr"/>
      <family val="2"/>
      <charset val="178"/>
    </font>
    <font>
      <b/>
      <sz val="10"/>
      <color theme="1"/>
      <name val="B Titr"/>
      <family val="2"/>
      <charset val="178"/>
    </font>
    <font>
      <b/>
      <sz val="9"/>
      <color theme="1"/>
      <name val="B Titr"/>
      <family val="2"/>
      <charset val="178"/>
    </font>
    <font>
      <b/>
      <sz val="11"/>
      <color theme="1"/>
      <name val="B Nazanin"/>
      <family val="2"/>
      <charset val="178"/>
    </font>
    <font>
      <b/>
      <sz val="14"/>
      <color theme="1"/>
      <name val="B Nazanin"/>
      <family val="2"/>
      <charset val="178"/>
    </font>
    <font>
      <b/>
      <sz val="7"/>
      <color theme="1"/>
      <name val="B Titr"/>
      <family val="2"/>
      <charset val="178"/>
    </font>
    <font>
      <b/>
      <sz val="14"/>
      <color theme="1"/>
      <name val="B Titr"/>
      <family val="2"/>
      <charset val="178"/>
    </font>
    <font>
      <b/>
      <sz val="16"/>
      <color theme="1"/>
      <name val="B Titr"/>
      <family val="2"/>
      <charset val="178"/>
    </font>
    <font>
      <u val="double"/>
      <sz val="16"/>
      <color theme="1"/>
      <name val="B Titr"/>
      <family val="2"/>
      <charset val="178"/>
    </font>
    <font>
      <b/>
      <u val="double"/>
      <sz val="20"/>
      <color theme="1"/>
      <name val="B Nazanin"/>
      <family val="2"/>
      <charset val="178"/>
    </font>
    <font>
      <b/>
      <sz val="18"/>
      <color theme="1"/>
      <name val="B Titr"/>
      <family val="2"/>
      <charset val="178"/>
    </font>
    <font>
      <sz val="18"/>
      <color theme="1"/>
      <name val="B Titr"/>
      <family val="2"/>
      <charset val="178"/>
    </font>
    <font>
      <b/>
      <sz val="20"/>
      <color theme="1"/>
      <name val="B Titr"/>
      <family val="2"/>
      <charset val="178"/>
    </font>
    <font>
      <sz val="20"/>
      <color theme="1"/>
      <name val="B Titr"/>
      <family val="2"/>
      <charset val="178"/>
    </font>
    <font>
      <sz val="24"/>
      <color theme="1"/>
      <name val="B Titr"/>
      <family val="2"/>
      <charset val="178"/>
    </font>
    <font>
      <sz val="22"/>
      <color theme="1"/>
      <name val="B Titr"/>
      <family val="2"/>
      <charset val="178"/>
    </font>
    <font>
      <sz val="10"/>
      <color theme="1" tint="4.9989318521683403E-2"/>
      <name val="B Nazanin"/>
      <family val="2"/>
      <charset val="178"/>
    </font>
    <font>
      <sz val="11"/>
      <color theme="1" tint="4.9989318521683403E-2"/>
      <name val="B Nazanin"/>
      <family val="2"/>
      <charset val="178"/>
    </font>
    <font>
      <b/>
      <sz val="26"/>
      <color theme="1"/>
      <name val="B Titr"/>
      <family val="2"/>
      <charset val="178"/>
    </font>
    <font>
      <b/>
      <sz val="26"/>
      <color theme="1"/>
      <name val="B Nazanin"/>
      <family val="2"/>
      <charset val="178"/>
    </font>
    <font>
      <b/>
      <sz val="11"/>
      <color rgb="FF000000"/>
      <name val="B Nazanin"/>
      <family val="2"/>
      <charset val="178"/>
    </font>
    <font>
      <b/>
      <u val="double"/>
      <sz val="24"/>
      <color theme="1"/>
      <name val="B Nazanin"/>
      <family val="2"/>
      <charset val="178"/>
    </font>
  </fonts>
  <fills count="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2" fillId="0" borderId="0"/>
  </cellStyleXfs>
  <cellXfs count="335">
    <xf numFmtId="0" fontId="0" fillId="0" borderId="0" xfId="0"/>
    <xf numFmtId="0" fontId="3" fillId="2" borderId="47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1" fillId="0" borderId="0" xfId="1"/>
    <xf numFmtId="0" fontId="10" fillId="0" borderId="0" xfId="1" applyFont="1"/>
    <xf numFmtId="0" fontId="1" fillId="0" borderId="28" xfId="1" applyBorder="1" applyAlignment="1">
      <alignment horizontal="center" vertical="center" shrinkToFit="1"/>
    </xf>
    <xf numFmtId="1" fontId="1" fillId="0" borderId="29" xfId="1" applyNumberForma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1" fontId="1" fillId="0" borderId="1" xfId="1" applyNumberFormat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1" fontId="1" fillId="0" borderId="0" xfId="1" applyNumberFormat="1" applyAlignment="1">
      <alignment horizontal="center" vertical="center" shrinkToFit="1"/>
    </xf>
    <xf numFmtId="0" fontId="0" fillId="0" borderId="0" xfId="0" applyAlignment="1">
      <alignment horizontal="center"/>
    </xf>
    <xf numFmtId="0" fontId="11" fillId="0" borderId="0" xfId="0" applyFont="1"/>
    <xf numFmtId="0" fontId="11" fillId="2" borderId="25" xfId="0" applyFont="1" applyFill="1" applyBorder="1" applyAlignment="1">
      <alignment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7" fillId="4" borderId="0" xfId="0" applyNumberFormat="1" applyFont="1" applyFill="1" applyBorder="1"/>
    <xf numFmtId="0" fontId="17" fillId="4" borderId="44" xfId="0" applyFont="1" applyFill="1" applyBorder="1"/>
    <xf numFmtId="3" fontId="11" fillId="4" borderId="0" xfId="0" applyNumberFormat="1" applyFont="1" applyFill="1" applyBorder="1"/>
    <xf numFmtId="0" fontId="11" fillId="4" borderId="44" xfId="0" applyFont="1" applyFill="1" applyBorder="1"/>
    <xf numFmtId="3" fontId="11" fillId="4" borderId="38" xfId="0" applyNumberFormat="1" applyFont="1" applyFill="1" applyBorder="1"/>
    <xf numFmtId="0" fontId="11" fillId="4" borderId="48" xfId="0" applyFont="1" applyFill="1" applyBorder="1"/>
    <xf numFmtId="3" fontId="11" fillId="4" borderId="42" xfId="0" applyNumberFormat="1" applyFont="1" applyFill="1" applyBorder="1"/>
    <xf numFmtId="0" fontId="11" fillId="4" borderId="43" xfId="0" applyFont="1" applyFill="1" applyBorder="1"/>
    <xf numFmtId="0" fontId="18" fillId="0" borderId="0" xfId="0" applyFont="1"/>
    <xf numFmtId="0" fontId="1" fillId="0" borderId="29" xfId="1" applyBorder="1" applyAlignment="1">
      <alignment horizontal="center" vertical="center" shrinkToFit="1"/>
    </xf>
    <xf numFmtId="0" fontId="10" fillId="2" borderId="15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10" fillId="2" borderId="26" xfId="1" applyFont="1" applyFill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3" fillId="0" borderId="0" xfId="1" applyFont="1"/>
    <xf numFmtId="3" fontId="1" fillId="0" borderId="8" xfId="1" applyNumberFormat="1" applyBorder="1"/>
    <xf numFmtId="3" fontId="1" fillId="0" borderId="1" xfId="1" applyNumberFormat="1" applyBorder="1"/>
    <xf numFmtId="3" fontId="1" fillId="0" borderId="9" xfId="1" applyNumberFormat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center" vertical="center"/>
    </xf>
    <xf numFmtId="3" fontId="14" fillId="2" borderId="5" xfId="1" applyNumberFormat="1" applyFont="1" applyFill="1" applyBorder="1" applyAlignment="1">
      <alignment horizontal="center" vertical="center"/>
    </xf>
    <xf numFmtId="3" fontId="1" fillId="0" borderId="32" xfId="1" applyNumberFormat="1" applyBorder="1"/>
    <xf numFmtId="3" fontId="14" fillId="2" borderId="26" xfId="1" applyNumberFormat="1" applyFont="1" applyFill="1" applyBorder="1" applyAlignment="1">
      <alignment horizontal="center" vertical="center"/>
    </xf>
    <xf numFmtId="3" fontId="1" fillId="0" borderId="8" xfId="1" applyNumberFormat="1" applyBorder="1" applyAlignment="1">
      <alignment horizontal="center" vertical="center"/>
    </xf>
    <xf numFmtId="3" fontId="14" fillId="2" borderId="15" xfId="1" applyNumberFormat="1" applyFont="1" applyFill="1" applyBorder="1" applyAlignment="1">
      <alignment horizontal="center" vertical="center"/>
    </xf>
    <xf numFmtId="3" fontId="1" fillId="0" borderId="9" xfId="1" applyNumberFormat="1" applyBorder="1"/>
    <xf numFmtId="3" fontId="1" fillId="0" borderId="28" xfId="1" applyNumberFormat="1" applyBorder="1"/>
    <xf numFmtId="3" fontId="1" fillId="0" borderId="49" xfId="1" applyNumberFormat="1" applyBorder="1"/>
    <xf numFmtId="3" fontId="1" fillId="0" borderId="29" xfId="1" applyNumberFormat="1" applyBorder="1"/>
    <xf numFmtId="0" fontId="23" fillId="2" borderId="6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1" fontId="1" fillId="0" borderId="7" xfId="1" applyNumberForma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3" fontId="1" fillId="0" borderId="28" xfId="1" applyNumberFormat="1" applyBorder="1" applyAlignment="1">
      <alignment horizontal="center" vertical="center"/>
    </xf>
    <xf numFmtId="3" fontId="1" fillId="0" borderId="49" xfId="1" applyNumberFormat="1" applyBorder="1" applyAlignment="1">
      <alignment horizontal="center" vertical="center"/>
    </xf>
    <xf numFmtId="3" fontId="14" fillId="2" borderId="24" xfId="1" applyNumberFormat="1" applyFont="1" applyFill="1" applyBorder="1" applyAlignment="1">
      <alignment horizontal="center" vertical="center"/>
    </xf>
    <xf numFmtId="0" fontId="23" fillId="2" borderId="19" xfId="1" applyFont="1" applyFill="1" applyBorder="1" applyAlignment="1">
      <alignment horizontal="center" vertical="center" wrapText="1"/>
    </xf>
    <xf numFmtId="0" fontId="23" fillId="2" borderId="18" xfId="1" applyFont="1" applyFill="1" applyBorder="1" applyAlignment="1">
      <alignment horizontal="center" vertical="center" wrapText="1"/>
    </xf>
    <xf numFmtId="3" fontId="14" fillId="2" borderId="50" xfId="1" applyNumberFormat="1" applyFont="1" applyFill="1" applyBorder="1" applyAlignment="1">
      <alignment horizontal="center" vertical="center"/>
    </xf>
    <xf numFmtId="3" fontId="14" fillId="2" borderId="51" xfId="1" applyNumberFormat="1" applyFont="1" applyFill="1" applyBorder="1" applyAlignment="1">
      <alignment horizontal="center" vertical="center"/>
    </xf>
    <xf numFmtId="3" fontId="1" fillId="0" borderId="3" xfId="1" applyNumberFormat="1" applyBorder="1"/>
    <xf numFmtId="3" fontId="1" fillId="0" borderId="4" xfId="1" applyNumberFormat="1" applyBorder="1"/>
    <xf numFmtId="3" fontId="1" fillId="0" borderId="6" xfId="1" applyNumberFormat="1" applyBorder="1"/>
    <xf numFmtId="3" fontId="1" fillId="0" borderId="16" xfId="1" applyNumberFormat="1" applyBorder="1"/>
    <xf numFmtId="3" fontId="1" fillId="0" borderId="30" xfId="1" applyNumberFormat="1" applyBorder="1"/>
    <xf numFmtId="3" fontId="1" fillId="0" borderId="21" xfId="1" applyNumberFormat="1" applyBorder="1"/>
    <xf numFmtId="3" fontId="1" fillId="0" borderId="22" xfId="1" applyNumberFormat="1" applyBorder="1"/>
    <xf numFmtId="3" fontId="1" fillId="0" borderId="20" xfId="1" applyNumberFormat="1" applyBorder="1"/>
    <xf numFmtId="3" fontId="1" fillId="0" borderId="39" xfId="1" applyNumberFormat="1" applyBorder="1"/>
    <xf numFmtId="3" fontId="1" fillId="0" borderId="35" xfId="1" applyNumberFormat="1" applyBorder="1"/>
    <xf numFmtId="3" fontId="1" fillId="0" borderId="36" xfId="1" applyNumberFormat="1" applyBorder="1" applyAlignment="1">
      <alignment horizontal="center" vertical="center"/>
    </xf>
    <xf numFmtId="3" fontId="1" fillId="0" borderId="22" xfId="1" applyNumberFormat="1" applyBorder="1" applyAlignment="1">
      <alignment horizontal="center" vertical="center"/>
    </xf>
    <xf numFmtId="0" fontId="20" fillId="2" borderId="35" xfId="1" applyFont="1" applyFill="1" applyBorder="1" applyAlignment="1">
      <alignment horizontal="center" vertical="center" wrapText="1" shrinkToFit="1"/>
    </xf>
    <xf numFmtId="0" fontId="20" fillId="2" borderId="20" xfId="1" applyFont="1" applyFill="1" applyBorder="1" applyAlignment="1">
      <alignment horizontal="center" vertical="center" wrapText="1" shrinkToFit="1"/>
    </xf>
    <xf numFmtId="0" fontId="20" fillId="2" borderId="27" xfId="1" applyFont="1" applyFill="1" applyBorder="1" applyAlignment="1">
      <alignment horizontal="center" vertical="center" wrapText="1" shrinkToFit="1"/>
    </xf>
    <xf numFmtId="0" fontId="20" fillId="2" borderId="15" xfId="1" applyFont="1" applyFill="1" applyBorder="1" applyAlignment="1">
      <alignment horizontal="center" vertical="center" wrapText="1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20" fillId="2" borderId="26" xfId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horizontal="center" vertical="center" wrapText="1" shrinkToFit="1"/>
    </xf>
    <xf numFmtId="0" fontId="1" fillId="0" borderId="0" xfId="1" applyFill="1" applyBorder="1" applyAlignment="1">
      <alignment horizontal="center" vertical="center" shrinkToFit="1"/>
    </xf>
    <xf numFmtId="0" fontId="24" fillId="2" borderId="5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3" fontId="2" fillId="0" borderId="31" xfId="1" applyNumberFormat="1" applyFont="1" applyBorder="1" applyAlignment="1">
      <alignment horizontal="center" vertical="center" shrinkToFit="1"/>
    </xf>
    <xf numFmtId="3" fontId="27" fillId="3" borderId="27" xfId="1" applyNumberFormat="1" applyFont="1" applyFill="1" applyBorder="1" applyAlignment="1">
      <alignment horizontal="center" vertical="center" shrinkToFi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3" fontId="7" fillId="2" borderId="27" xfId="1" applyNumberFormat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3" fontId="7" fillId="2" borderId="15" xfId="1" applyNumberFormat="1" applyFont="1" applyFill="1" applyBorder="1" applyAlignment="1">
      <alignment horizontal="center" vertical="center" shrinkToFit="1"/>
    </xf>
    <xf numFmtId="3" fontId="7" fillId="2" borderId="5" xfId="1" applyNumberFormat="1" applyFont="1" applyFill="1" applyBorder="1" applyAlignment="1">
      <alignment horizontal="center" vertical="center" shrinkToFit="1"/>
    </xf>
    <xf numFmtId="3" fontId="7" fillId="2" borderId="10" xfId="1" applyNumberFormat="1" applyFont="1" applyFill="1" applyBorder="1" applyAlignment="1">
      <alignment horizontal="center" vertical="center" shrinkToFit="1"/>
    </xf>
    <xf numFmtId="3" fontId="7" fillId="2" borderId="24" xfId="1" applyNumberFormat="1" applyFont="1" applyFill="1" applyBorder="1" applyAlignment="1">
      <alignment horizontal="center" vertical="center" shrinkToFit="1"/>
    </xf>
    <xf numFmtId="3" fontId="7" fillId="2" borderId="26" xfId="1" applyNumberFormat="1" applyFont="1" applyFill="1" applyBorder="1" applyAlignment="1">
      <alignment horizontal="center" vertical="center" shrinkToFit="1"/>
    </xf>
    <xf numFmtId="0" fontId="7" fillId="0" borderId="0" xfId="1" applyFont="1"/>
    <xf numFmtId="0" fontId="31" fillId="0" borderId="0" xfId="1" applyFont="1"/>
    <xf numFmtId="0" fontId="13" fillId="0" borderId="38" xfId="1" applyFont="1" applyBorder="1"/>
    <xf numFmtId="0" fontId="34" fillId="0" borderId="8" xfId="1" applyFont="1" applyFill="1" applyBorder="1" applyAlignment="1">
      <alignment horizontal="center" vertical="center" shrinkToFit="1"/>
    </xf>
    <xf numFmtId="1" fontId="34" fillId="0" borderId="1" xfId="1" applyNumberFormat="1" applyFont="1" applyFill="1" applyBorder="1" applyAlignment="1">
      <alignment horizontal="center" vertical="center" shrinkToFit="1"/>
    </xf>
    <xf numFmtId="0" fontId="34" fillId="0" borderId="9" xfId="1" applyFont="1" applyFill="1" applyBorder="1" applyAlignment="1">
      <alignment horizontal="center" vertical="center" shrinkToFit="1"/>
    </xf>
    <xf numFmtId="1" fontId="34" fillId="0" borderId="9" xfId="1" applyNumberFormat="1" applyFont="1" applyFill="1" applyBorder="1" applyAlignment="1">
      <alignment horizontal="center" vertical="center" shrinkToFit="1"/>
    </xf>
    <xf numFmtId="0" fontId="34" fillId="0" borderId="1" xfId="1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 shrinkToFit="1"/>
    </xf>
    <xf numFmtId="0" fontId="10" fillId="2" borderId="24" xfId="1" applyFont="1" applyFill="1" applyBorder="1" applyAlignment="1">
      <alignment horizontal="center" vertical="center" wrapText="1"/>
    </xf>
    <xf numFmtId="0" fontId="19" fillId="2" borderId="50" xfId="1" applyFont="1" applyFill="1" applyBorder="1" applyAlignment="1">
      <alignment horizontal="center" vertical="center" wrapText="1"/>
    </xf>
    <xf numFmtId="0" fontId="19" fillId="2" borderId="51" xfId="1" applyFont="1" applyFill="1" applyBorder="1" applyAlignment="1">
      <alignment horizontal="center" vertical="center" wrapText="1"/>
    </xf>
    <xf numFmtId="0" fontId="34" fillId="5" borderId="8" xfId="1" applyFont="1" applyFill="1" applyBorder="1" applyAlignment="1">
      <alignment horizontal="center" vertical="center" shrinkToFit="1"/>
    </xf>
    <xf numFmtId="1" fontId="34" fillId="5" borderId="1" xfId="1" applyNumberFormat="1" applyFont="1" applyFill="1" applyBorder="1" applyAlignment="1">
      <alignment horizontal="center" vertical="center" shrinkToFit="1"/>
    </xf>
    <xf numFmtId="0" fontId="34" fillId="5" borderId="9" xfId="1" applyFont="1" applyFill="1" applyBorder="1" applyAlignment="1">
      <alignment horizontal="center" vertical="center" shrinkToFit="1"/>
    </xf>
    <xf numFmtId="0" fontId="1" fillId="5" borderId="33" xfId="1" applyFill="1" applyBorder="1" applyAlignment="1">
      <alignment horizontal="center" vertical="center"/>
    </xf>
    <xf numFmtId="3" fontId="1" fillId="5" borderId="8" xfId="1" applyNumberFormat="1" applyFill="1" applyBorder="1"/>
    <xf numFmtId="3" fontId="1" fillId="5" borderId="9" xfId="1" applyNumberFormat="1" applyFill="1" applyBorder="1"/>
    <xf numFmtId="3" fontId="1" fillId="5" borderId="1" xfId="1" applyNumberFormat="1" applyFill="1" applyBorder="1"/>
    <xf numFmtId="3" fontId="1" fillId="5" borderId="32" xfId="1" applyNumberFormat="1" applyFill="1" applyBorder="1"/>
    <xf numFmtId="3" fontId="1" fillId="5" borderId="22" xfId="1" applyNumberFormat="1" applyFill="1" applyBorder="1"/>
    <xf numFmtId="3" fontId="1" fillId="5" borderId="22" xfId="1" applyNumberFormat="1" applyFill="1" applyBorder="1" applyAlignment="1">
      <alignment horizontal="center" vertical="center"/>
    </xf>
    <xf numFmtId="3" fontId="1" fillId="5" borderId="9" xfId="1" applyNumberFormat="1" applyFill="1" applyBorder="1" applyAlignment="1">
      <alignment horizontal="center" vertical="center"/>
    </xf>
    <xf numFmtId="0" fontId="1" fillId="5" borderId="0" xfId="1" applyFill="1"/>
    <xf numFmtId="0" fontId="1" fillId="5" borderId="1" xfId="1" applyFill="1" applyBorder="1" applyAlignment="1">
      <alignment horizontal="center" vertical="center" shrinkToFit="1"/>
    </xf>
    <xf numFmtId="1" fontId="1" fillId="5" borderId="1" xfId="1" applyNumberFormat="1" applyFill="1" applyBorder="1" applyAlignment="1">
      <alignment horizontal="center" vertical="center" shrinkToFit="1"/>
    </xf>
    <xf numFmtId="0" fontId="1" fillId="5" borderId="32" xfId="1" applyFill="1" applyBorder="1" applyAlignment="1">
      <alignment horizontal="center" vertical="center"/>
    </xf>
    <xf numFmtId="3" fontId="1" fillId="5" borderId="8" xfId="1" applyNumberFormat="1" applyFill="1" applyBorder="1" applyAlignment="1">
      <alignment horizontal="center" vertical="center"/>
    </xf>
    <xf numFmtId="3" fontId="1" fillId="5" borderId="28" xfId="1" applyNumberFormat="1" applyFill="1" applyBorder="1" applyAlignment="1">
      <alignment horizontal="center" vertical="center"/>
    </xf>
    <xf numFmtId="3" fontId="1" fillId="4" borderId="8" xfId="1" applyNumberFormat="1" applyFill="1" applyBorder="1"/>
    <xf numFmtId="3" fontId="1" fillId="4" borderId="9" xfId="1" applyNumberFormat="1" applyFill="1" applyBorder="1"/>
    <xf numFmtId="3" fontId="1" fillId="4" borderId="1" xfId="1" applyNumberFormat="1" applyFill="1" applyBorder="1"/>
    <xf numFmtId="0" fontId="1" fillId="4" borderId="0" xfId="1" applyFill="1"/>
    <xf numFmtId="1" fontId="32" fillId="0" borderId="45" xfId="1" applyNumberFormat="1" applyFont="1" applyBorder="1" applyAlignment="1">
      <alignment horizontal="center" vertical="center" wrapText="1" shrinkToFit="1"/>
    </xf>
    <xf numFmtId="3" fontId="6" fillId="2" borderId="27" xfId="1" applyNumberFormat="1" applyFont="1" applyFill="1" applyBorder="1" applyAlignment="1">
      <alignment horizontal="center" vertical="center" shrinkToFit="1"/>
    </xf>
    <xf numFmtId="3" fontId="2" fillId="0" borderId="28" xfId="1" applyNumberFormat="1" applyFont="1" applyBorder="1" applyAlignment="1">
      <alignment horizontal="center" vertical="center" textRotation="90" shrinkToFit="1"/>
    </xf>
    <xf numFmtId="3" fontId="2" fillId="0" borderId="49" xfId="1" applyNumberFormat="1" applyFont="1" applyBorder="1" applyAlignment="1">
      <alignment horizontal="center" vertical="center" textRotation="90" shrinkToFit="1"/>
    </xf>
    <xf numFmtId="3" fontId="2" fillId="0" borderId="3" xfId="1" applyNumberFormat="1" applyFont="1" applyBorder="1" applyAlignment="1">
      <alignment horizontal="center" vertical="center" textRotation="90" shrinkToFit="1"/>
    </xf>
    <xf numFmtId="3" fontId="2" fillId="0" borderId="2" xfId="1" applyNumberFormat="1" applyFont="1" applyBorder="1" applyAlignment="1">
      <alignment horizontal="center" vertical="center" textRotation="90" shrinkToFit="1"/>
    </xf>
    <xf numFmtId="3" fontId="2" fillId="0" borderId="4" xfId="1" applyNumberFormat="1" applyFont="1" applyBorder="1" applyAlignment="1">
      <alignment horizontal="center" vertical="center" textRotation="90" shrinkToFit="1"/>
    </xf>
    <xf numFmtId="3" fontId="2" fillId="6" borderId="46" xfId="1" applyNumberFormat="1" applyFont="1" applyFill="1" applyBorder="1" applyAlignment="1">
      <alignment vertical="center" textRotation="90"/>
    </xf>
    <xf numFmtId="3" fontId="2" fillId="6" borderId="45" xfId="1" applyNumberFormat="1" applyFont="1" applyFill="1" applyBorder="1" applyAlignment="1">
      <alignment horizontal="center" vertical="center" textRotation="90"/>
    </xf>
    <xf numFmtId="3" fontId="2" fillId="6" borderId="47" xfId="1" applyNumberFormat="1" applyFont="1" applyFill="1" applyBorder="1" applyAlignment="1">
      <alignment horizontal="center" vertical="center" textRotation="90"/>
    </xf>
    <xf numFmtId="3" fontId="2" fillId="6" borderId="46" xfId="1" applyNumberFormat="1" applyFont="1" applyFill="1" applyBorder="1" applyAlignment="1">
      <alignment horizontal="center" vertical="center" textRotation="90"/>
    </xf>
    <xf numFmtId="3" fontId="2" fillId="0" borderId="29" xfId="1" applyNumberFormat="1" applyFont="1" applyBorder="1" applyAlignment="1">
      <alignment horizontal="center" vertical="center" textRotation="90" shrinkToFit="1"/>
    </xf>
    <xf numFmtId="3" fontId="2" fillId="0" borderId="30" xfId="1" applyNumberFormat="1" applyFont="1" applyBorder="1" applyAlignment="1">
      <alignment horizontal="center" vertical="center" textRotation="90" shrinkToFit="1"/>
    </xf>
    <xf numFmtId="3" fontId="2" fillId="0" borderId="8" xfId="1" applyNumberFormat="1" applyFont="1" applyBorder="1" applyAlignment="1">
      <alignment horizontal="center" vertical="center" textRotation="90" shrinkToFit="1"/>
    </xf>
    <xf numFmtId="3" fontId="2" fillId="0" borderId="1" xfId="1" applyNumberFormat="1" applyFont="1" applyBorder="1" applyAlignment="1">
      <alignment horizontal="center" vertical="center" textRotation="90" shrinkToFit="1"/>
    </xf>
    <xf numFmtId="3" fontId="2" fillId="0" borderId="9" xfId="1" applyNumberFormat="1" applyFont="1" applyBorder="1" applyAlignment="1">
      <alignment horizontal="center" vertical="center" textRotation="90" shrinkToFit="1"/>
    </xf>
    <xf numFmtId="3" fontId="2" fillId="0" borderId="31" xfId="1" applyNumberFormat="1" applyFont="1" applyBorder="1" applyAlignment="1">
      <alignment horizontal="center" vertical="center" textRotation="90" shrinkToFit="1"/>
    </xf>
    <xf numFmtId="0" fontId="8" fillId="0" borderId="49" xfId="1" applyFont="1" applyBorder="1" applyAlignment="1">
      <alignment horizontal="center" vertical="center" textRotation="90" wrapText="1" shrinkToFit="1"/>
    </xf>
    <xf numFmtId="0" fontId="8" fillId="0" borderId="53" xfId="1" applyFont="1" applyBorder="1" applyAlignment="1">
      <alignment horizontal="center" vertical="center" textRotation="90" wrapText="1" shrinkToFit="1"/>
    </xf>
    <xf numFmtId="0" fontId="8" fillId="0" borderId="30" xfId="1" applyFont="1" applyBorder="1" applyAlignment="1">
      <alignment horizontal="center" vertical="center" textRotation="90" wrapText="1" shrinkToFit="1"/>
    </xf>
    <xf numFmtId="0" fontId="8" fillId="0" borderId="31" xfId="1" applyFont="1" applyBorder="1" applyAlignment="1">
      <alignment horizontal="center" vertical="center" textRotation="90" shrinkToFit="1"/>
    </xf>
    <xf numFmtId="3" fontId="8" fillId="0" borderId="52" xfId="1" applyNumberFormat="1" applyFont="1" applyBorder="1" applyAlignment="1">
      <alignment horizontal="center" vertical="center" textRotation="90" shrinkToFit="1"/>
    </xf>
    <xf numFmtId="3" fontId="8" fillId="0" borderId="30" xfId="1" applyNumberFormat="1" applyFont="1" applyBorder="1" applyAlignment="1">
      <alignment horizontal="center" vertical="center" textRotation="90" shrinkToFit="1"/>
    </xf>
    <xf numFmtId="3" fontId="8" fillId="0" borderId="31" xfId="1" applyNumberFormat="1" applyFont="1" applyBorder="1" applyAlignment="1">
      <alignment horizontal="center" vertical="center" textRotation="90" shrinkToFit="1"/>
    </xf>
    <xf numFmtId="3" fontId="37" fillId="2" borderId="27" xfId="1" applyNumberFormat="1" applyFont="1" applyFill="1" applyBorder="1" applyAlignment="1">
      <alignment horizontal="center" vertical="center" shrinkToFit="1"/>
    </xf>
    <xf numFmtId="0" fontId="37" fillId="0" borderId="0" xfId="1" applyFont="1" applyFill="1" applyBorder="1" applyAlignment="1">
      <alignment horizontal="center" vertical="center" shrinkToFit="1"/>
    </xf>
    <xf numFmtId="3" fontId="37" fillId="2" borderId="15" xfId="1" applyNumberFormat="1" applyFont="1" applyFill="1" applyBorder="1" applyAlignment="1">
      <alignment horizontal="center" vertical="center" shrinkToFit="1"/>
    </xf>
    <xf numFmtId="3" fontId="37" fillId="2" borderId="5" xfId="1" applyNumberFormat="1" applyFont="1" applyFill="1" applyBorder="1" applyAlignment="1">
      <alignment horizontal="center" vertical="center" shrinkToFit="1"/>
    </xf>
    <xf numFmtId="3" fontId="37" fillId="2" borderId="10" xfId="1" applyNumberFormat="1" applyFont="1" applyFill="1" applyBorder="1" applyAlignment="1">
      <alignment horizontal="center" vertical="center" shrinkToFit="1"/>
    </xf>
    <xf numFmtId="3" fontId="37" fillId="2" borderId="24" xfId="1" applyNumberFormat="1" applyFont="1" applyFill="1" applyBorder="1" applyAlignment="1">
      <alignment horizontal="center" vertical="center" shrinkToFit="1"/>
    </xf>
    <xf numFmtId="3" fontId="37" fillId="2" borderId="26" xfId="1" applyNumberFormat="1" applyFont="1" applyFill="1" applyBorder="1" applyAlignment="1">
      <alignment horizontal="center" vertical="center" shrinkToFit="1"/>
    </xf>
    <xf numFmtId="3" fontId="37" fillId="2" borderId="27" xfId="1" applyNumberFormat="1" applyFont="1" applyFill="1" applyBorder="1" applyAlignment="1">
      <alignment horizontal="center" vertical="center" shrinkToFit="1"/>
    </xf>
    <xf numFmtId="0" fontId="37" fillId="0" borderId="0" xfId="1" applyFont="1"/>
    <xf numFmtId="3" fontId="1" fillId="0" borderId="53" xfId="1" applyNumberFormat="1" applyBorder="1"/>
    <xf numFmtId="3" fontId="1" fillId="0" borderId="54" xfId="1" applyNumberFormat="1" applyBorder="1"/>
    <xf numFmtId="3" fontId="1" fillId="5" borderId="54" xfId="1" applyNumberFormat="1" applyFill="1" applyBorder="1"/>
    <xf numFmtId="3" fontId="1" fillId="0" borderId="55" xfId="1" applyNumberFormat="1" applyBorder="1"/>
    <xf numFmtId="3" fontId="14" fillId="2" borderId="38" xfId="1" applyNumberFormat="1" applyFont="1" applyFill="1" applyBorder="1" applyAlignment="1">
      <alignment horizontal="center" vertical="center"/>
    </xf>
    <xf numFmtId="0" fontId="23" fillId="2" borderId="34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3" fontId="1" fillId="0" borderId="23" xfId="1" applyNumberFormat="1" applyBorder="1"/>
    <xf numFmtId="3" fontId="1" fillId="0" borderId="34" xfId="1" applyNumberFormat="1" applyBorder="1"/>
    <xf numFmtId="3" fontId="1" fillId="0" borderId="36" xfId="1" applyNumberFormat="1" applyBorder="1"/>
    <xf numFmtId="3" fontId="1" fillId="0" borderId="0" xfId="1" applyNumberFormat="1"/>
    <xf numFmtId="0" fontId="21" fillId="4" borderId="1" xfId="1" applyFont="1" applyFill="1" applyBorder="1" applyAlignment="1">
      <alignment horizontal="center" vertical="center" shrinkToFit="1"/>
    </xf>
    <xf numFmtId="1" fontId="21" fillId="4" borderId="1" xfId="1" applyNumberFormat="1" applyFont="1" applyFill="1" applyBorder="1" applyAlignment="1">
      <alignment horizontal="center" vertical="center" shrinkToFit="1"/>
    </xf>
    <xf numFmtId="0" fontId="21" fillId="4" borderId="32" xfId="1" applyFont="1" applyFill="1" applyBorder="1" applyAlignment="1">
      <alignment horizontal="center" vertical="center"/>
    </xf>
    <xf numFmtId="0" fontId="21" fillId="4" borderId="29" xfId="1" applyFont="1" applyFill="1" applyBorder="1" applyAlignment="1">
      <alignment horizontal="center" vertical="center" shrinkToFit="1"/>
    </xf>
    <xf numFmtId="1" fontId="21" fillId="4" borderId="29" xfId="1" applyNumberFormat="1" applyFont="1" applyFill="1" applyBorder="1" applyAlignment="1">
      <alignment horizontal="center" vertical="center" shrinkToFit="1"/>
    </xf>
    <xf numFmtId="0" fontId="21" fillId="4" borderId="30" xfId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 shrinkToFit="1"/>
    </xf>
    <xf numFmtId="0" fontId="21" fillId="4" borderId="17" xfId="1" applyFont="1" applyFill="1" applyBorder="1" applyAlignment="1">
      <alignment horizontal="center" vertical="center" shrinkToFit="1"/>
    </xf>
    <xf numFmtId="1" fontId="21" fillId="4" borderId="17" xfId="1" applyNumberFormat="1" applyFont="1" applyFill="1" applyBorder="1" applyAlignment="1">
      <alignment horizontal="center" vertical="center" shrinkToFit="1"/>
    </xf>
    <xf numFmtId="0" fontId="21" fillId="4" borderId="34" xfId="1" applyFont="1" applyFill="1" applyBorder="1" applyAlignment="1">
      <alignment horizontal="center" vertical="center"/>
    </xf>
    <xf numFmtId="0" fontId="1" fillId="5" borderId="1" xfId="1" applyFill="1" applyBorder="1"/>
    <xf numFmtId="3" fontId="1" fillId="5" borderId="1" xfId="1" applyNumberFormat="1" applyFill="1" applyBorder="1" applyAlignment="1">
      <alignment horizontal="center" vertical="center"/>
    </xf>
    <xf numFmtId="0" fontId="1" fillId="5" borderId="17" xfId="1" applyFill="1" applyBorder="1" applyAlignment="1">
      <alignment horizontal="center" vertical="center" shrinkToFit="1"/>
    </xf>
    <xf numFmtId="1" fontId="1" fillId="5" borderId="17" xfId="1" applyNumberFormat="1" applyFill="1" applyBorder="1" applyAlignment="1">
      <alignment horizontal="center" vertical="center" shrinkToFit="1"/>
    </xf>
    <xf numFmtId="0" fontId="1" fillId="5" borderId="17" xfId="1" applyFill="1" applyBorder="1"/>
    <xf numFmtId="3" fontId="1" fillId="4" borderId="28" xfId="1" applyNumberFormat="1" applyFill="1" applyBorder="1"/>
    <xf numFmtId="3" fontId="1" fillId="4" borderId="49" xfId="1" applyNumberFormat="1" applyFill="1" applyBorder="1"/>
    <xf numFmtId="3" fontId="1" fillId="4" borderId="29" xfId="1" applyNumberFormat="1" applyFill="1" applyBorder="1"/>
    <xf numFmtId="3" fontId="1" fillId="4" borderId="28" xfId="1" applyNumberFormat="1" applyFill="1" applyBorder="1" applyAlignment="1">
      <alignment horizontal="center" vertical="center"/>
    </xf>
    <xf numFmtId="3" fontId="1" fillId="4" borderId="19" xfId="1" applyNumberFormat="1" applyFill="1" applyBorder="1"/>
    <xf numFmtId="3" fontId="1" fillId="4" borderId="18" xfId="1" applyNumberFormat="1" applyFill="1" applyBorder="1"/>
    <xf numFmtId="3" fontId="1" fillId="4" borderId="17" xfId="1" applyNumberFormat="1" applyFill="1" applyBorder="1"/>
    <xf numFmtId="3" fontId="1" fillId="4" borderId="0" xfId="1" applyNumberFormat="1" applyFill="1"/>
    <xf numFmtId="3" fontId="1" fillId="5" borderId="0" xfId="1" applyNumberFormat="1" applyFill="1"/>
    <xf numFmtId="3" fontId="39" fillId="3" borderId="27" xfId="1" applyNumberFormat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8" fillId="0" borderId="25" xfId="1" applyFont="1" applyBorder="1" applyAlignment="1">
      <alignment horizontal="right" vertical="center" shrinkToFit="1"/>
    </xf>
    <xf numFmtId="0" fontId="28" fillId="0" borderId="11" xfId="1" applyFont="1" applyBorder="1" applyAlignment="1">
      <alignment horizontal="right" vertical="center" shrinkToFit="1"/>
    </xf>
    <xf numFmtId="0" fontId="28" fillId="0" borderId="12" xfId="1" applyFont="1" applyBorder="1" applyAlignment="1">
      <alignment horizontal="right" vertical="center" shrinkToFit="1"/>
    </xf>
    <xf numFmtId="0" fontId="29" fillId="0" borderId="25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0" borderId="12" xfId="1" applyFont="1" applyBorder="1" applyAlignment="1">
      <alignment horizontal="center" vertical="center"/>
    </xf>
    <xf numFmtId="0" fontId="28" fillId="7" borderId="25" xfId="1" applyFont="1" applyFill="1" applyBorder="1" applyAlignment="1">
      <alignment horizontal="center" vertical="center" shrinkToFit="1"/>
    </xf>
    <xf numFmtId="0" fontId="28" fillId="7" borderId="11" xfId="1" applyFont="1" applyFill="1" applyBorder="1" applyAlignment="1">
      <alignment horizontal="center" vertical="center" shrinkToFit="1"/>
    </xf>
    <xf numFmtId="0" fontId="28" fillId="7" borderId="12" xfId="1" applyFont="1" applyFill="1" applyBorder="1" applyAlignment="1">
      <alignment horizontal="center" vertical="center" shrinkToFit="1"/>
    </xf>
    <xf numFmtId="0" fontId="11" fillId="2" borderId="41" xfId="1" applyFont="1" applyFill="1" applyBorder="1" applyAlignment="1">
      <alignment horizontal="center" vertical="center" shrinkToFit="1"/>
    </xf>
    <xf numFmtId="0" fontId="11" fillId="2" borderId="42" xfId="1" applyFont="1" applyFill="1" applyBorder="1" applyAlignment="1">
      <alignment horizontal="center" vertical="center" shrinkToFit="1"/>
    </xf>
    <xf numFmtId="0" fontId="11" fillId="2" borderId="43" xfId="1" applyFont="1" applyFill="1" applyBorder="1" applyAlignment="1">
      <alignment horizontal="center" vertical="center" shrinkToFit="1"/>
    </xf>
    <xf numFmtId="0" fontId="11" fillId="2" borderId="14" xfId="1" applyFont="1" applyFill="1" applyBorder="1" applyAlignment="1">
      <alignment horizontal="center" vertical="center" shrinkToFit="1"/>
    </xf>
    <xf numFmtId="0" fontId="11" fillId="2" borderId="38" xfId="1" applyFont="1" applyFill="1" applyBorder="1" applyAlignment="1">
      <alignment horizontal="center" vertical="center" shrinkToFit="1"/>
    </xf>
    <xf numFmtId="0" fontId="11" fillId="2" borderId="48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39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2" borderId="32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17" xfId="1" applyFont="1" applyFill="1" applyBorder="1" applyAlignment="1">
      <alignment horizontal="center" vertical="center" shrinkToFit="1"/>
    </xf>
    <xf numFmtId="0" fontId="11" fillId="2" borderId="34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56" xfId="1" applyFont="1" applyFill="1" applyBorder="1" applyAlignment="1">
      <alignment horizontal="center" vertical="center" shrinkToFit="1"/>
    </xf>
    <xf numFmtId="0" fontId="11" fillId="2" borderId="58" xfId="1" applyFont="1" applyFill="1" applyBorder="1" applyAlignment="1">
      <alignment horizontal="center" vertical="center" shrinkToFit="1"/>
    </xf>
    <xf numFmtId="0" fontId="11" fillId="2" borderId="57" xfId="1" applyFont="1" applyFill="1" applyBorder="1" applyAlignment="1">
      <alignment horizontal="center" vertical="center" shrinkToFit="1"/>
    </xf>
    <xf numFmtId="0" fontId="11" fillId="2" borderId="56" xfId="1" applyFont="1" applyFill="1" applyBorder="1" applyAlignment="1">
      <alignment horizontal="center" vertical="center" wrapText="1" shrinkToFit="1"/>
    </xf>
    <xf numFmtId="0" fontId="11" fillId="2" borderId="58" xfId="1" applyFont="1" applyFill="1" applyBorder="1" applyAlignment="1">
      <alignment horizontal="center" vertical="center" wrapText="1" shrinkToFit="1"/>
    </xf>
    <xf numFmtId="0" fontId="11" fillId="2" borderId="57" xfId="1" applyFont="1" applyFill="1" applyBorder="1" applyAlignment="1">
      <alignment horizontal="center" vertical="center" wrapText="1" shrinkToFit="1"/>
    </xf>
    <xf numFmtId="0" fontId="4" fillId="2" borderId="32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21" fillId="2" borderId="25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0" fontId="36" fillId="2" borderId="25" xfId="1" applyFont="1" applyFill="1" applyBorder="1" applyAlignment="1">
      <alignment horizontal="center" vertical="center" shrinkToFit="1"/>
    </xf>
    <xf numFmtId="0" fontId="36" fillId="2" borderId="11" xfId="1" applyFont="1" applyFill="1" applyBorder="1" applyAlignment="1">
      <alignment horizontal="center" vertical="center" shrinkToFit="1"/>
    </xf>
    <xf numFmtId="0" fontId="36" fillId="2" borderId="12" xfId="1" applyFont="1" applyFill="1" applyBorder="1" applyAlignment="1">
      <alignment horizontal="center" vertical="center" shrinkToFit="1"/>
    </xf>
    <xf numFmtId="0" fontId="33" fillId="2" borderId="25" xfId="1" applyFont="1" applyFill="1" applyBorder="1" applyAlignment="1">
      <alignment horizontal="center" vertical="center" shrinkToFit="1"/>
    </xf>
    <xf numFmtId="0" fontId="33" fillId="2" borderId="11" xfId="1" applyFont="1" applyFill="1" applyBorder="1" applyAlignment="1">
      <alignment horizontal="center" vertical="center" shrinkToFit="1"/>
    </xf>
    <xf numFmtId="0" fontId="33" fillId="2" borderId="12" xfId="1" applyFont="1" applyFill="1" applyBorder="1" applyAlignment="1">
      <alignment horizontal="center" vertical="center" shrinkToFit="1"/>
    </xf>
    <xf numFmtId="0" fontId="5" fillId="3" borderId="25" xfId="1" applyFont="1" applyFill="1" applyBorder="1" applyAlignment="1">
      <alignment horizontal="center" vertical="center" shrinkToFit="1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horizontal="right" vertical="center"/>
    </xf>
    <xf numFmtId="0" fontId="11" fillId="4" borderId="38" xfId="0" applyFont="1" applyFill="1" applyBorder="1" applyAlignment="1">
      <alignment horizontal="right" vertical="center"/>
    </xf>
    <xf numFmtId="0" fontId="11" fillId="4" borderId="41" xfId="0" applyFont="1" applyFill="1" applyBorder="1" applyAlignment="1">
      <alignment horizontal="right" vertical="center"/>
    </xf>
    <xf numFmtId="0" fontId="11" fillId="4" borderId="42" xfId="0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 shrinkToFit="1"/>
    </xf>
    <xf numFmtId="0" fontId="10" fillId="2" borderId="13" xfId="1" applyFont="1" applyFill="1" applyBorder="1" applyAlignment="1">
      <alignment horizontal="center" vertical="center" shrinkToFit="1"/>
    </xf>
    <xf numFmtId="0" fontId="10" fillId="2" borderId="14" xfId="1" applyFont="1" applyFill="1" applyBorder="1" applyAlignment="1">
      <alignment horizontal="center" vertical="center" shrinkToFit="1"/>
    </xf>
    <xf numFmtId="0" fontId="10" fillId="0" borderId="38" xfId="1" applyFont="1" applyBorder="1" applyAlignment="1">
      <alignment horizontal="right" vertical="center" shrinkToFit="1"/>
    </xf>
    <xf numFmtId="0" fontId="10" fillId="0" borderId="0" xfId="1" applyFont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6" fillId="2" borderId="15" xfId="1" applyFont="1" applyFill="1" applyBorder="1" applyAlignment="1">
      <alignment horizontal="center" vertical="center" shrinkToFit="1"/>
    </xf>
    <xf numFmtId="0" fontId="26" fillId="2" borderId="10" xfId="1" applyFont="1" applyFill="1" applyBorder="1" applyAlignment="1">
      <alignment horizontal="center" vertical="center" shrinkToFit="1"/>
    </xf>
    <xf numFmtId="0" fontId="26" fillId="2" borderId="26" xfId="1" applyFont="1" applyFill="1" applyBorder="1" applyAlignment="1">
      <alignment horizontal="center" vertical="center" shrinkToFit="1"/>
    </xf>
    <xf numFmtId="0" fontId="13" fillId="0" borderId="38" xfId="1" applyFont="1" applyBorder="1" applyAlignment="1">
      <alignment horizontal="center"/>
    </xf>
    <xf numFmtId="0" fontId="22" fillId="2" borderId="2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22" fillId="2" borderId="39" xfId="1" applyFont="1" applyFill="1" applyBorder="1" applyAlignment="1">
      <alignment horizontal="center" vertical="center"/>
    </xf>
    <xf numFmtId="0" fontId="26" fillId="2" borderId="25" xfId="1" applyFont="1" applyFill="1" applyBorder="1" applyAlignment="1">
      <alignment horizontal="center" vertical="center" shrinkToFit="1"/>
    </xf>
    <xf numFmtId="0" fontId="26" fillId="2" borderId="11" xfId="1" applyFont="1" applyFill="1" applyBorder="1" applyAlignment="1">
      <alignment horizontal="center" vertical="center" shrinkToFit="1"/>
    </xf>
    <xf numFmtId="0" fontId="26" fillId="2" borderId="12" xfId="1" applyFont="1" applyFill="1" applyBorder="1" applyAlignment="1">
      <alignment horizontal="center" vertical="center" shrinkToFit="1"/>
    </xf>
    <xf numFmtId="0" fontId="3" fillId="2" borderId="41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 shrinkToFit="1"/>
    </xf>
    <xf numFmtId="0" fontId="10" fillId="2" borderId="58" xfId="1" applyFont="1" applyFill="1" applyBorder="1" applyAlignment="1">
      <alignment horizontal="center" vertical="center" shrinkToFit="1"/>
    </xf>
    <xf numFmtId="0" fontId="10" fillId="2" borderId="57" xfId="1" applyFont="1" applyFill="1" applyBorder="1" applyAlignment="1">
      <alignment horizontal="center" vertical="center" shrinkToFit="1"/>
    </xf>
    <xf numFmtId="0" fontId="3" fillId="2" borderId="42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BR16"/>
  <sheetViews>
    <sheetView rightToLeft="1" tabSelected="1" topLeftCell="AS13" zoomScale="70" zoomScaleNormal="70" zoomScaleSheetLayoutView="40" workbookViewId="0">
      <selection activeCell="U271" sqref="U271"/>
    </sheetView>
  </sheetViews>
  <sheetFormatPr defaultColWidth="9" defaultRowHeight="12.75"/>
  <cols>
    <col min="1" max="1" width="6.5703125" style="21" customWidth="1"/>
    <col min="2" max="2" width="25.28515625" style="23" customWidth="1"/>
    <col min="3" max="3" width="13.42578125" style="21" customWidth="1"/>
    <col min="4" max="4" width="10.7109375" style="21" customWidth="1"/>
    <col min="5" max="6" width="11" style="21" customWidth="1"/>
    <col min="7" max="10" width="8" style="21" customWidth="1"/>
    <col min="11" max="11" width="11" style="21" customWidth="1"/>
    <col min="12" max="12" width="7.5703125" style="21" customWidth="1"/>
    <col min="13" max="13" width="43" style="21" bestFit="1" customWidth="1"/>
    <col min="14" max="14" width="2.42578125" style="106" customWidth="1"/>
    <col min="15" max="24" width="10.42578125" style="15" customWidth="1"/>
    <col min="25" max="25" width="16.42578125" style="15" customWidth="1"/>
    <col min="26" max="27" width="10.42578125" style="15" customWidth="1"/>
    <col min="28" max="28" width="16.140625" style="15" customWidth="1"/>
    <col min="29" max="29" width="2.140625" style="106" customWidth="1"/>
    <col min="30" max="43" width="8" style="15" customWidth="1"/>
    <col min="44" max="44" width="16.42578125" style="15" customWidth="1"/>
    <col min="45" max="46" width="8" style="15" customWidth="1"/>
    <col min="47" max="47" width="16.42578125" style="15" customWidth="1"/>
    <col min="48" max="48" width="2.42578125" style="106" customWidth="1"/>
    <col min="49" max="50" width="14.5703125" style="15" customWidth="1"/>
    <col min="51" max="51" width="8" style="15" customWidth="1"/>
    <col min="52" max="52" width="16.42578125" style="15" customWidth="1"/>
    <col min="53" max="53" width="13.5703125" style="15" customWidth="1"/>
    <col min="54" max="54" width="13.140625" style="15" customWidth="1"/>
    <col min="55" max="55" width="8" style="15" customWidth="1"/>
    <col min="56" max="56" width="16.42578125" style="15" customWidth="1"/>
    <col min="57" max="57" width="2.42578125" style="106" customWidth="1"/>
    <col min="58" max="69" width="9" style="15"/>
    <col min="70" max="70" width="16.42578125" style="15" customWidth="1"/>
    <col min="71" max="16384" width="9" style="15"/>
  </cols>
  <sheetData>
    <row r="1" spans="1:70" s="125" customFormat="1" ht="72.75" customHeight="1">
      <c r="A1" s="236" t="s">
        <v>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</row>
    <row r="2" spans="1:70" s="125" customFormat="1" ht="72.75" customHeight="1">
      <c r="A2" s="236" t="s">
        <v>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</row>
    <row r="3" spans="1:70" s="125" customFormat="1" ht="72.75" customHeight="1" thickBot="1">
      <c r="A3" s="236" t="s">
        <v>1248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</row>
    <row r="4" spans="1:70" s="53" customFormat="1" ht="50.25" customHeight="1" thickBot="1">
      <c r="A4" s="237" t="s">
        <v>1356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104"/>
      <c r="O4" s="240" t="s">
        <v>1256</v>
      </c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/>
      <c r="AC4" s="104"/>
      <c r="AD4" s="240" t="s">
        <v>1334</v>
      </c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2"/>
      <c r="AV4" s="104"/>
      <c r="AW4" s="243" t="s">
        <v>1258</v>
      </c>
      <c r="AX4" s="244"/>
      <c r="AY4" s="244"/>
      <c r="AZ4" s="244"/>
      <c r="BA4" s="244"/>
      <c r="BB4" s="244"/>
      <c r="BC4" s="244"/>
      <c r="BD4" s="245"/>
      <c r="BE4" s="104"/>
      <c r="BF4" s="240" t="s">
        <v>1254</v>
      </c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2"/>
    </row>
    <row r="5" spans="1:70" ht="36" customHeight="1" thickBot="1">
      <c r="A5" s="246" t="s">
        <v>1247</v>
      </c>
      <c r="B5" s="247"/>
      <c r="C5" s="248"/>
      <c r="D5" s="252" t="s">
        <v>30</v>
      </c>
      <c r="E5" s="253"/>
      <c r="F5" s="256" t="s">
        <v>1249</v>
      </c>
      <c r="G5" s="257"/>
      <c r="H5" s="257"/>
      <c r="I5" s="257"/>
      <c r="J5" s="253"/>
      <c r="K5" s="258"/>
      <c r="L5" s="263" t="s">
        <v>1250</v>
      </c>
      <c r="M5" s="266" t="s">
        <v>1251</v>
      </c>
      <c r="N5" s="105"/>
      <c r="O5" s="11" t="s">
        <v>690</v>
      </c>
      <c r="P5" s="10"/>
      <c r="Q5" s="3" t="s">
        <v>691</v>
      </c>
      <c r="R5" s="2"/>
      <c r="S5" s="2"/>
      <c r="T5" s="2"/>
      <c r="U5" s="2"/>
      <c r="V5" s="1"/>
      <c r="W5" s="226" t="s">
        <v>692</v>
      </c>
      <c r="X5" s="227"/>
      <c r="Y5" s="227"/>
      <c r="Z5" s="227"/>
      <c r="AA5" s="227"/>
      <c r="AB5" s="228"/>
      <c r="AC5" s="105"/>
      <c r="AD5" s="226" t="s">
        <v>690</v>
      </c>
      <c r="AE5" s="227"/>
      <c r="AF5" s="228"/>
      <c r="AG5" s="227" t="s">
        <v>691</v>
      </c>
      <c r="AH5" s="227"/>
      <c r="AI5" s="227"/>
      <c r="AJ5" s="227"/>
      <c r="AK5" s="227"/>
      <c r="AL5" s="227"/>
      <c r="AM5" s="227"/>
      <c r="AN5" s="227"/>
      <c r="AO5" s="228"/>
      <c r="AP5" s="226" t="s">
        <v>692</v>
      </c>
      <c r="AQ5" s="227"/>
      <c r="AR5" s="227"/>
      <c r="AS5" s="227"/>
      <c r="AT5" s="227"/>
      <c r="AU5" s="228"/>
      <c r="AV5" s="105"/>
      <c r="AW5" s="226" t="s">
        <v>692</v>
      </c>
      <c r="AX5" s="227"/>
      <c r="AY5" s="227"/>
      <c r="AZ5" s="227"/>
      <c r="BA5" s="227"/>
      <c r="BB5" s="227"/>
      <c r="BC5" s="227"/>
      <c r="BD5" s="228"/>
      <c r="BE5" s="105"/>
      <c r="BF5" s="271" t="s">
        <v>631</v>
      </c>
      <c r="BG5" s="272"/>
      <c r="BH5" s="272"/>
      <c r="BI5" s="272"/>
      <c r="BJ5" s="272"/>
      <c r="BK5" s="273"/>
      <c r="BL5" s="271" t="s">
        <v>1335</v>
      </c>
      <c r="BM5" s="272"/>
      <c r="BN5" s="272"/>
      <c r="BO5" s="272"/>
      <c r="BP5" s="272"/>
      <c r="BQ5" s="274"/>
      <c r="BR5" s="14" t="s">
        <v>15</v>
      </c>
    </row>
    <row r="6" spans="1:70" ht="36" customHeight="1" thickBot="1">
      <c r="A6" s="249"/>
      <c r="B6" s="250"/>
      <c r="C6" s="251"/>
      <c r="D6" s="254"/>
      <c r="E6" s="255"/>
      <c r="F6" s="259"/>
      <c r="G6" s="260"/>
      <c r="H6" s="260"/>
      <c r="I6" s="260"/>
      <c r="J6" s="261"/>
      <c r="K6" s="262"/>
      <c r="L6" s="264"/>
      <c r="M6" s="267"/>
      <c r="N6" s="105"/>
      <c r="O6" s="11" t="s">
        <v>4</v>
      </c>
      <c r="P6" s="10"/>
      <c r="Q6" s="11" t="s">
        <v>1257</v>
      </c>
      <c r="R6" s="10"/>
      <c r="S6" s="11" t="s">
        <v>6</v>
      </c>
      <c r="T6" s="10"/>
      <c r="U6" s="11" t="s">
        <v>689</v>
      </c>
      <c r="V6" s="10"/>
      <c r="W6" s="9" t="s">
        <v>1252</v>
      </c>
      <c r="X6" s="8"/>
      <c r="Y6" s="7"/>
      <c r="Z6" s="9" t="s">
        <v>1260</v>
      </c>
      <c r="AA6" s="8"/>
      <c r="AB6" s="7"/>
      <c r="AC6" s="105"/>
      <c r="AD6" s="6" t="s">
        <v>4</v>
      </c>
      <c r="AE6" s="5"/>
      <c r="AF6" s="4"/>
      <c r="AG6" s="226" t="s">
        <v>1257</v>
      </c>
      <c r="AH6" s="227"/>
      <c r="AI6" s="227"/>
      <c r="AJ6" s="6" t="s">
        <v>6</v>
      </c>
      <c r="AK6" s="5"/>
      <c r="AL6" s="4"/>
      <c r="AM6" s="276" t="s">
        <v>689</v>
      </c>
      <c r="AN6" s="277"/>
      <c r="AO6" s="277"/>
      <c r="AP6" s="231" t="s">
        <v>1336</v>
      </c>
      <c r="AQ6" s="232"/>
      <c r="AR6" s="233"/>
      <c r="AS6" s="231" t="s">
        <v>1259</v>
      </c>
      <c r="AT6" s="232"/>
      <c r="AU6" s="233"/>
      <c r="AV6" s="105"/>
      <c r="AW6" s="231" t="s">
        <v>1337</v>
      </c>
      <c r="AX6" s="232"/>
      <c r="AY6" s="232"/>
      <c r="AZ6" s="233"/>
      <c r="BA6" s="231" t="s">
        <v>1338</v>
      </c>
      <c r="BB6" s="232"/>
      <c r="BC6" s="232"/>
      <c r="BD6" s="233"/>
      <c r="BE6" s="105"/>
      <c r="BF6" s="234" t="s">
        <v>8</v>
      </c>
      <c r="BG6" s="235"/>
      <c r="BH6" s="235" t="s">
        <v>1253</v>
      </c>
      <c r="BI6" s="235"/>
      <c r="BJ6" s="229" t="s">
        <v>642</v>
      </c>
      <c r="BK6" s="269" t="s">
        <v>20</v>
      </c>
      <c r="BL6" s="234" t="s">
        <v>8</v>
      </c>
      <c r="BM6" s="235"/>
      <c r="BN6" s="235" t="s">
        <v>1255</v>
      </c>
      <c r="BO6" s="235"/>
      <c r="BP6" s="229" t="s">
        <v>642</v>
      </c>
      <c r="BQ6" s="230" t="s">
        <v>20</v>
      </c>
      <c r="BR6" s="13"/>
    </row>
    <row r="7" spans="1:70" s="16" customFormat="1" ht="69" customHeight="1" thickBot="1">
      <c r="A7" s="48" t="s">
        <v>10</v>
      </c>
      <c r="B7" s="49" t="s">
        <v>1246</v>
      </c>
      <c r="C7" s="70" t="s">
        <v>14</v>
      </c>
      <c r="D7" s="99" t="s">
        <v>28</v>
      </c>
      <c r="E7" s="98" t="s">
        <v>29</v>
      </c>
      <c r="F7" s="100" t="s">
        <v>3</v>
      </c>
      <c r="G7" s="101" t="s">
        <v>16</v>
      </c>
      <c r="H7" s="102" t="s">
        <v>17</v>
      </c>
      <c r="I7" s="102" t="s">
        <v>18</v>
      </c>
      <c r="J7" s="103" t="s">
        <v>19</v>
      </c>
      <c r="K7" s="100" t="s">
        <v>20</v>
      </c>
      <c r="L7" s="265"/>
      <c r="M7" s="268"/>
      <c r="N7" s="105"/>
      <c r="O7" s="134" t="s">
        <v>32</v>
      </c>
      <c r="P7" s="135" t="s">
        <v>33</v>
      </c>
      <c r="Q7" s="134" t="s">
        <v>32</v>
      </c>
      <c r="R7" s="135" t="s">
        <v>33</v>
      </c>
      <c r="S7" s="134" t="s">
        <v>32</v>
      </c>
      <c r="T7" s="135" t="s">
        <v>33</v>
      </c>
      <c r="U7" s="134" t="s">
        <v>32</v>
      </c>
      <c r="V7" s="135" t="s">
        <v>33</v>
      </c>
      <c r="W7" s="115" t="s">
        <v>13</v>
      </c>
      <c r="X7" s="116" t="s">
        <v>1246</v>
      </c>
      <c r="Y7" s="107" t="s">
        <v>20</v>
      </c>
      <c r="Z7" s="115" t="s">
        <v>13</v>
      </c>
      <c r="AA7" s="116" t="s">
        <v>1246</v>
      </c>
      <c r="AB7" s="107" t="s">
        <v>20</v>
      </c>
      <c r="AC7" s="105"/>
      <c r="AD7" s="115" t="s">
        <v>0</v>
      </c>
      <c r="AE7" s="116" t="s">
        <v>318</v>
      </c>
      <c r="AF7" s="108" t="s">
        <v>20</v>
      </c>
      <c r="AG7" s="115" t="s">
        <v>0</v>
      </c>
      <c r="AH7" s="116" t="s">
        <v>318</v>
      </c>
      <c r="AI7" s="108" t="s">
        <v>20</v>
      </c>
      <c r="AJ7" s="115" t="s">
        <v>0</v>
      </c>
      <c r="AK7" s="116" t="s">
        <v>318</v>
      </c>
      <c r="AL7" s="108" t="s">
        <v>20</v>
      </c>
      <c r="AM7" s="115" t="s">
        <v>0</v>
      </c>
      <c r="AN7" s="116" t="s">
        <v>318</v>
      </c>
      <c r="AO7" s="108" t="s">
        <v>20</v>
      </c>
      <c r="AP7" s="115" t="s">
        <v>0</v>
      </c>
      <c r="AQ7" s="116" t="s">
        <v>318</v>
      </c>
      <c r="AR7" s="108" t="s">
        <v>20</v>
      </c>
      <c r="AS7" s="115" t="s">
        <v>0</v>
      </c>
      <c r="AT7" s="116" t="s">
        <v>318</v>
      </c>
      <c r="AU7" s="108" t="s">
        <v>20</v>
      </c>
      <c r="AV7" s="105"/>
      <c r="AW7" s="115" t="s">
        <v>1339</v>
      </c>
      <c r="AX7" s="133" t="s">
        <v>0</v>
      </c>
      <c r="AY7" s="116" t="s">
        <v>318</v>
      </c>
      <c r="AZ7" s="108" t="s">
        <v>20</v>
      </c>
      <c r="BA7" s="115" t="s">
        <v>1339</v>
      </c>
      <c r="BB7" s="133" t="s">
        <v>0</v>
      </c>
      <c r="BC7" s="116" t="s">
        <v>318</v>
      </c>
      <c r="BD7" s="108" t="s">
        <v>20</v>
      </c>
      <c r="BE7" s="105"/>
      <c r="BF7" s="111" t="s">
        <v>9</v>
      </c>
      <c r="BG7" s="112" t="s">
        <v>11</v>
      </c>
      <c r="BH7" s="112" t="s">
        <v>12</v>
      </c>
      <c r="BI7" s="112" t="s">
        <v>7</v>
      </c>
      <c r="BJ7" s="275"/>
      <c r="BK7" s="270"/>
      <c r="BL7" s="110" t="s">
        <v>9</v>
      </c>
      <c r="BM7" s="109" t="s">
        <v>11</v>
      </c>
      <c r="BN7" s="109" t="s">
        <v>12</v>
      </c>
      <c r="BO7" s="109" t="s">
        <v>7</v>
      </c>
      <c r="BP7" s="229"/>
      <c r="BQ7" s="230"/>
      <c r="BR7" s="12"/>
    </row>
    <row r="8" spans="1:70" ht="267.75" customHeight="1" thickBot="1">
      <c r="A8" s="17">
        <v>1</v>
      </c>
      <c r="B8" s="157" t="s">
        <v>1354</v>
      </c>
      <c r="C8" s="174" t="s">
        <v>1355</v>
      </c>
      <c r="D8" s="175" t="s">
        <v>1348</v>
      </c>
      <c r="E8" s="176" t="s">
        <v>1347</v>
      </c>
      <c r="F8" s="177" t="s">
        <v>1349</v>
      </c>
      <c r="G8" s="178">
        <f>65*12000</f>
        <v>780000</v>
      </c>
      <c r="H8" s="179">
        <f>76*12000</f>
        <v>912000</v>
      </c>
      <c r="I8" s="179">
        <f>73*12000</f>
        <v>876000</v>
      </c>
      <c r="J8" s="179">
        <f>73*12000</f>
        <v>876000</v>
      </c>
      <c r="K8" s="180">
        <f>SUM(G8:J8)</f>
        <v>3444000</v>
      </c>
      <c r="L8" s="180">
        <f>M8/K8</f>
        <v>83223.25418145521</v>
      </c>
      <c r="M8" s="113">
        <v>286620887400.93176</v>
      </c>
      <c r="O8" s="159">
        <f>285*13500</f>
        <v>3847500</v>
      </c>
      <c r="P8" s="160">
        <v>185869000000</v>
      </c>
      <c r="Q8" s="159">
        <f>12500*285</f>
        <v>3562500</v>
      </c>
      <c r="R8" s="160">
        <v>177240833846.39999</v>
      </c>
      <c r="S8" s="159">
        <f>12000*179</f>
        <v>2148000</v>
      </c>
      <c r="T8" s="160">
        <v>112136132912.87601</v>
      </c>
      <c r="U8" s="159">
        <f>12000*278</f>
        <v>3336000</v>
      </c>
      <c r="V8" s="160">
        <v>216716721799.18274</v>
      </c>
      <c r="W8" s="161">
        <v>108266546851.93175</v>
      </c>
      <c r="X8" s="162">
        <v>167285700549</v>
      </c>
      <c r="Y8" s="163">
        <f>SUM(W8:X8)</f>
        <v>275552247400.93176</v>
      </c>
      <c r="Z8" s="161">
        <v>108266546851.93175</v>
      </c>
      <c r="AA8" s="162">
        <v>73149602454</v>
      </c>
      <c r="AB8" s="163">
        <f>SUM(Z8:AA8)</f>
        <v>181416149305.93176</v>
      </c>
      <c r="AD8" s="164"/>
      <c r="AE8" s="165"/>
      <c r="AF8" s="166">
        <f>AE8+AD8</f>
        <v>0</v>
      </c>
      <c r="AG8" s="167">
        <v>0</v>
      </c>
      <c r="AH8" s="165">
        <v>0</v>
      </c>
      <c r="AI8" s="166">
        <f>AH8+AG8</f>
        <v>0</v>
      </c>
      <c r="AJ8" s="167">
        <v>0</v>
      </c>
      <c r="AK8" s="165">
        <v>0</v>
      </c>
      <c r="AL8" s="166">
        <f>AK8+AJ8</f>
        <v>0</v>
      </c>
      <c r="AM8" s="167">
        <v>0</v>
      </c>
      <c r="AN8" s="165"/>
      <c r="AO8" s="166">
        <f>AN8+AM8</f>
        <v>0</v>
      </c>
      <c r="AP8" s="167">
        <v>11068640000</v>
      </c>
      <c r="AQ8" s="165"/>
      <c r="AR8" s="166">
        <f>AP8+AQ8</f>
        <v>11068640000</v>
      </c>
      <c r="AS8" s="167">
        <v>0</v>
      </c>
      <c r="AT8" s="165"/>
      <c r="AU8" s="166">
        <f>AT8+AS8</f>
        <v>0</v>
      </c>
      <c r="AW8" s="167">
        <f>Y8</f>
        <v>275552247400.93176</v>
      </c>
      <c r="AX8" s="167">
        <f>AR8</f>
        <v>11068640000</v>
      </c>
      <c r="AY8" s="165">
        <v>0</v>
      </c>
      <c r="AZ8" s="166">
        <f>AY8+AX8+AW8</f>
        <v>286620887400.93176</v>
      </c>
      <c r="BA8" s="167">
        <f>AB8</f>
        <v>181416149305.93176</v>
      </c>
      <c r="BB8" s="167">
        <f>AU8</f>
        <v>0</v>
      </c>
      <c r="BC8" s="165">
        <v>0</v>
      </c>
      <c r="BD8" s="166">
        <f>BC8+BB8+BA8</f>
        <v>181416149305.93176</v>
      </c>
      <c r="BF8" s="159">
        <v>0</v>
      </c>
      <c r="BG8" s="168">
        <f>BD8</f>
        <v>181416149305.93176</v>
      </c>
      <c r="BH8" s="168">
        <v>98204738094.334396</v>
      </c>
      <c r="BI8" s="168">
        <v>0</v>
      </c>
      <c r="BJ8" s="168">
        <v>0</v>
      </c>
      <c r="BK8" s="169">
        <f>SUM(BF8:BJ8)</f>
        <v>279620887400.26617</v>
      </c>
      <c r="BL8" s="170">
        <v>0</v>
      </c>
      <c r="BM8" s="171">
        <v>0</v>
      </c>
      <c r="BN8" s="171">
        <f>7000000000</f>
        <v>7000000000</v>
      </c>
      <c r="BO8" s="171">
        <v>0</v>
      </c>
      <c r="BP8" s="171">
        <v>0</v>
      </c>
      <c r="BQ8" s="172">
        <f>SUM(BL8:BP8)</f>
        <v>7000000000</v>
      </c>
      <c r="BR8" s="173">
        <f>BQ8+BK8</f>
        <v>286620887400.26617</v>
      </c>
    </row>
    <row r="9" spans="1:70" s="124" customFormat="1" ht="83.25" customHeight="1" thickBot="1">
      <c r="A9" s="281" t="s">
        <v>20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3"/>
      <c r="M9" s="158">
        <f>SUM(M8:M8)</f>
        <v>286620887400.93176</v>
      </c>
      <c r="N9" s="118"/>
      <c r="O9" s="119">
        <f t="shared" ref="O9:AB9" si="0">SUM(O8:O8)</f>
        <v>3847500</v>
      </c>
      <c r="P9" s="120">
        <f t="shared" si="0"/>
        <v>185869000000</v>
      </c>
      <c r="Q9" s="119">
        <f t="shared" si="0"/>
        <v>3562500</v>
      </c>
      <c r="R9" s="120">
        <f t="shared" si="0"/>
        <v>177240833846.39999</v>
      </c>
      <c r="S9" s="119">
        <f t="shared" si="0"/>
        <v>2148000</v>
      </c>
      <c r="T9" s="120">
        <f t="shared" si="0"/>
        <v>112136132912.87601</v>
      </c>
      <c r="U9" s="119">
        <f t="shared" si="0"/>
        <v>3336000</v>
      </c>
      <c r="V9" s="120">
        <f t="shared" si="0"/>
        <v>216716721799.18274</v>
      </c>
      <c r="W9" s="119">
        <f t="shared" si="0"/>
        <v>108266546851.93175</v>
      </c>
      <c r="X9" s="121">
        <f t="shared" si="0"/>
        <v>167285700549</v>
      </c>
      <c r="Y9" s="120">
        <f t="shared" si="0"/>
        <v>275552247400.93176</v>
      </c>
      <c r="Z9" s="119">
        <f t="shared" si="0"/>
        <v>108266546851.93175</v>
      </c>
      <c r="AA9" s="121">
        <f t="shared" si="0"/>
        <v>73149602454</v>
      </c>
      <c r="AB9" s="120">
        <f t="shared" si="0"/>
        <v>181416149305.93176</v>
      </c>
      <c r="AC9" s="118"/>
      <c r="AD9" s="119">
        <f t="shared" ref="AD9:AU9" si="1">SUM(AD8)</f>
        <v>0</v>
      </c>
      <c r="AE9" s="122">
        <f t="shared" si="1"/>
        <v>0</v>
      </c>
      <c r="AF9" s="121">
        <f t="shared" si="1"/>
        <v>0</v>
      </c>
      <c r="AG9" s="119">
        <f t="shared" si="1"/>
        <v>0</v>
      </c>
      <c r="AH9" s="122">
        <f t="shared" si="1"/>
        <v>0</v>
      </c>
      <c r="AI9" s="121">
        <f t="shared" si="1"/>
        <v>0</v>
      </c>
      <c r="AJ9" s="119">
        <f t="shared" si="1"/>
        <v>0</v>
      </c>
      <c r="AK9" s="122">
        <f t="shared" si="1"/>
        <v>0</v>
      </c>
      <c r="AL9" s="121">
        <f t="shared" si="1"/>
        <v>0</v>
      </c>
      <c r="AM9" s="119">
        <f t="shared" si="1"/>
        <v>0</v>
      </c>
      <c r="AN9" s="122">
        <f t="shared" si="1"/>
        <v>0</v>
      </c>
      <c r="AO9" s="121">
        <f t="shared" si="1"/>
        <v>0</v>
      </c>
      <c r="AP9" s="119">
        <f t="shared" si="1"/>
        <v>11068640000</v>
      </c>
      <c r="AQ9" s="121">
        <f t="shared" si="1"/>
        <v>0</v>
      </c>
      <c r="AR9" s="120">
        <f t="shared" si="1"/>
        <v>11068640000</v>
      </c>
      <c r="AS9" s="119">
        <f t="shared" si="1"/>
        <v>0</v>
      </c>
      <c r="AT9" s="121">
        <f t="shared" si="1"/>
        <v>0</v>
      </c>
      <c r="AU9" s="120">
        <f t="shared" si="1"/>
        <v>0</v>
      </c>
      <c r="AV9" s="118"/>
      <c r="AW9" s="119">
        <f>SUM(AW8)</f>
        <v>275552247400.93176</v>
      </c>
      <c r="AX9" s="122">
        <f>AX8</f>
        <v>11068640000</v>
      </c>
      <c r="AY9" s="121">
        <f>SUM(AY8)</f>
        <v>0</v>
      </c>
      <c r="AZ9" s="120">
        <f>SUM(AZ8)</f>
        <v>286620887400.93176</v>
      </c>
      <c r="BA9" s="119">
        <f>SUM(BA8)</f>
        <v>181416149305.93176</v>
      </c>
      <c r="BB9" s="122"/>
      <c r="BC9" s="121">
        <f>SUM(BC8)</f>
        <v>0</v>
      </c>
      <c r="BD9" s="120">
        <f>SUM(BD8)</f>
        <v>181416149305.93176</v>
      </c>
      <c r="BE9" s="118"/>
      <c r="BF9" s="119">
        <f>SUM(BF8:BF8)</f>
        <v>0</v>
      </c>
      <c r="BG9" s="121">
        <f>SUM(BG8:BG8)</f>
        <v>181416149305.93176</v>
      </c>
      <c r="BH9" s="121">
        <f>SUM(BH8:BH8)</f>
        <v>98204738094.334396</v>
      </c>
      <c r="BI9" s="121">
        <f>SUM(BI8:BI8)</f>
        <v>0</v>
      </c>
      <c r="BJ9" s="121">
        <f>SUM(BJ8:BJ8)</f>
        <v>0</v>
      </c>
      <c r="BK9" s="123">
        <f>SUM(BF9:BJ9)</f>
        <v>279620887400.26617</v>
      </c>
      <c r="BL9" s="119">
        <f t="shared" ref="BL9:BQ9" si="2">SUM(BL8:BL8)</f>
        <v>0</v>
      </c>
      <c r="BM9" s="121">
        <f t="shared" si="2"/>
        <v>0</v>
      </c>
      <c r="BN9" s="121">
        <f t="shared" si="2"/>
        <v>7000000000</v>
      </c>
      <c r="BO9" s="121">
        <f t="shared" si="2"/>
        <v>0</v>
      </c>
      <c r="BP9" s="121">
        <f t="shared" si="2"/>
        <v>0</v>
      </c>
      <c r="BQ9" s="120">
        <f t="shared" si="2"/>
        <v>7000000000</v>
      </c>
      <c r="BR9" s="117">
        <f t="shared" ref="BR9" si="3">BQ9+BK9</f>
        <v>286620887400.26617</v>
      </c>
    </row>
    <row r="10" spans="1:70" ht="267.75" customHeight="1" thickBot="1">
      <c r="A10" s="17">
        <v>1</v>
      </c>
      <c r="B10" s="157" t="s">
        <v>1351</v>
      </c>
      <c r="C10" s="174" t="s">
        <v>1346</v>
      </c>
      <c r="D10" s="175" t="s">
        <v>1348</v>
      </c>
      <c r="E10" s="176" t="s">
        <v>1347</v>
      </c>
      <c r="F10" s="177" t="s">
        <v>1359</v>
      </c>
      <c r="G10" s="178">
        <v>3255000</v>
      </c>
      <c r="H10" s="179">
        <v>3348000</v>
      </c>
      <c r="I10" s="179">
        <v>3330000</v>
      </c>
      <c r="J10" s="179">
        <v>3420000</v>
      </c>
      <c r="K10" s="180">
        <f>SUM(G10:J10)</f>
        <v>13353000</v>
      </c>
      <c r="L10" s="180">
        <f>M10/K10</f>
        <v>2397.9231625496791</v>
      </c>
      <c r="M10" s="113">
        <v>32019467989.525864</v>
      </c>
      <c r="O10" s="159">
        <v>3853998</v>
      </c>
      <c r="P10" s="160">
        <v>18071000000</v>
      </c>
      <c r="Q10" s="159">
        <v>12000000</v>
      </c>
      <c r="R10" s="160">
        <v>23382475384.299999</v>
      </c>
      <c r="S10" s="159">
        <f>246*33000</f>
        <v>8118000</v>
      </c>
      <c r="T10" s="160">
        <v>10400998342.762001</v>
      </c>
      <c r="U10" s="159">
        <f>119*35000+S10</f>
        <v>12283000</v>
      </c>
      <c r="V10" s="160">
        <v>22922056618.198677</v>
      </c>
      <c r="W10" s="161">
        <v>16449425138.191999</v>
      </c>
      <c r="X10" s="162">
        <v>8810082852</v>
      </c>
      <c r="Y10" s="163">
        <f>SUM(W10:X10)</f>
        <v>25259507990.192001</v>
      </c>
      <c r="Z10" s="161">
        <v>16449425138.191999</v>
      </c>
      <c r="AA10" s="162">
        <v>5810082852</v>
      </c>
      <c r="AB10" s="163">
        <f>SUM(Z10:AA10)</f>
        <v>22259507990.192001</v>
      </c>
      <c r="AD10" s="164">
        <v>0</v>
      </c>
      <c r="AE10" s="165">
        <v>0</v>
      </c>
      <c r="AF10" s="166">
        <f>AE10+AD10</f>
        <v>0</v>
      </c>
      <c r="AG10" s="167">
        <v>0</v>
      </c>
      <c r="AH10" s="165">
        <v>0</v>
      </c>
      <c r="AI10" s="166">
        <f>AH10+AG10</f>
        <v>0</v>
      </c>
      <c r="AJ10" s="167">
        <v>0</v>
      </c>
      <c r="AK10" s="165"/>
      <c r="AL10" s="166">
        <f>AK10+AJ10</f>
        <v>0</v>
      </c>
      <c r="AM10" s="167">
        <v>0</v>
      </c>
      <c r="AN10" s="165"/>
      <c r="AO10" s="166">
        <f>AN10+AM10</f>
        <v>0</v>
      </c>
      <c r="AP10" s="167">
        <v>6759960000</v>
      </c>
      <c r="AQ10" s="165">
        <v>0</v>
      </c>
      <c r="AR10" s="166">
        <f>AQ10+AP10</f>
        <v>6759960000</v>
      </c>
      <c r="AS10" s="167">
        <v>6759960000</v>
      </c>
      <c r="AT10" s="165"/>
      <c r="AU10" s="166">
        <f>AT10+AS10</f>
        <v>6759960000</v>
      </c>
      <c r="AW10" s="167">
        <f>Y10</f>
        <v>25259507990.192001</v>
      </c>
      <c r="AX10" s="167">
        <f>AR10</f>
        <v>6759960000</v>
      </c>
      <c r="AY10" s="165">
        <v>0</v>
      </c>
      <c r="AZ10" s="166">
        <f>AY10+AX10+AW10</f>
        <v>32019467990.192001</v>
      </c>
      <c r="BA10" s="167">
        <f>AB10</f>
        <v>22259507990.192001</v>
      </c>
      <c r="BB10" s="167">
        <f>AU10</f>
        <v>6759960000</v>
      </c>
      <c r="BC10" s="165">
        <v>0</v>
      </c>
      <c r="BD10" s="166">
        <f>BC10+BB10+BA10</f>
        <v>29019467990.192001</v>
      </c>
      <c r="BF10" s="159">
        <v>0</v>
      </c>
      <c r="BG10" s="168">
        <f>BD10</f>
        <v>29019467990.192001</v>
      </c>
      <c r="BH10" s="168">
        <v>3000000000</v>
      </c>
      <c r="BI10" s="168">
        <v>0</v>
      </c>
      <c r="BJ10" s="168">
        <v>0</v>
      </c>
      <c r="BK10" s="169">
        <f>SUM(BF10:BJ10)</f>
        <v>32019467990.192001</v>
      </c>
      <c r="BL10" s="170">
        <v>0</v>
      </c>
      <c r="BM10" s="171">
        <v>0</v>
      </c>
      <c r="BN10" s="171">
        <v>0</v>
      </c>
      <c r="BO10" s="171">
        <v>0</v>
      </c>
      <c r="BP10" s="171">
        <v>0</v>
      </c>
      <c r="BQ10" s="172">
        <f>SUM(BL10:BP10)</f>
        <v>0</v>
      </c>
      <c r="BR10" s="173">
        <f>BQ10+BK10</f>
        <v>32019467990.192001</v>
      </c>
    </row>
    <row r="11" spans="1:70" s="189" customFormat="1" ht="83.25" customHeight="1" thickBot="1">
      <c r="A11" s="278" t="s">
        <v>20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80"/>
      <c r="M11" s="181">
        <f>M10</f>
        <v>32019467989.525864</v>
      </c>
      <c r="N11" s="182"/>
      <c r="O11" s="183">
        <f t="shared" ref="O11:AB11" si="4">SUM(O10:O10)</f>
        <v>3853998</v>
      </c>
      <c r="P11" s="184">
        <f t="shared" si="4"/>
        <v>18071000000</v>
      </c>
      <c r="Q11" s="183">
        <f t="shared" si="4"/>
        <v>12000000</v>
      </c>
      <c r="R11" s="184">
        <f t="shared" si="4"/>
        <v>23382475384.299999</v>
      </c>
      <c r="S11" s="183">
        <f t="shared" si="4"/>
        <v>8118000</v>
      </c>
      <c r="T11" s="184">
        <f t="shared" si="4"/>
        <v>10400998342.762001</v>
      </c>
      <c r="U11" s="183">
        <f t="shared" si="4"/>
        <v>12283000</v>
      </c>
      <c r="V11" s="184">
        <f t="shared" si="4"/>
        <v>22922056618.198677</v>
      </c>
      <c r="W11" s="183">
        <f t="shared" si="4"/>
        <v>16449425138.191999</v>
      </c>
      <c r="X11" s="185">
        <f t="shared" si="4"/>
        <v>8810082852</v>
      </c>
      <c r="Y11" s="184">
        <f t="shared" si="4"/>
        <v>25259507990.192001</v>
      </c>
      <c r="Z11" s="183">
        <f t="shared" si="4"/>
        <v>16449425138.191999</v>
      </c>
      <c r="AA11" s="185">
        <f t="shared" si="4"/>
        <v>5810082852</v>
      </c>
      <c r="AB11" s="184">
        <f t="shared" si="4"/>
        <v>22259507990.192001</v>
      </c>
      <c r="AC11" s="182"/>
      <c r="AD11" s="183">
        <f t="shared" ref="AD11:AU11" si="5">SUM(AD10)</f>
        <v>0</v>
      </c>
      <c r="AE11" s="186">
        <f t="shared" si="5"/>
        <v>0</v>
      </c>
      <c r="AF11" s="185">
        <f t="shared" si="5"/>
        <v>0</v>
      </c>
      <c r="AG11" s="183">
        <f t="shared" si="5"/>
        <v>0</v>
      </c>
      <c r="AH11" s="186">
        <f t="shared" si="5"/>
        <v>0</v>
      </c>
      <c r="AI11" s="185">
        <f t="shared" si="5"/>
        <v>0</v>
      </c>
      <c r="AJ11" s="183">
        <f t="shared" si="5"/>
        <v>0</v>
      </c>
      <c r="AK11" s="186">
        <f t="shared" si="5"/>
        <v>0</v>
      </c>
      <c r="AL11" s="185">
        <f t="shared" si="5"/>
        <v>0</v>
      </c>
      <c r="AM11" s="183">
        <f t="shared" si="5"/>
        <v>0</v>
      </c>
      <c r="AN11" s="186">
        <f t="shared" si="5"/>
        <v>0</v>
      </c>
      <c r="AO11" s="185">
        <f t="shared" si="5"/>
        <v>0</v>
      </c>
      <c r="AP11" s="183">
        <f t="shared" si="5"/>
        <v>6759960000</v>
      </c>
      <c r="AQ11" s="185">
        <f t="shared" si="5"/>
        <v>0</v>
      </c>
      <c r="AR11" s="184">
        <f t="shared" si="5"/>
        <v>6759960000</v>
      </c>
      <c r="AS11" s="183">
        <f t="shared" si="5"/>
        <v>6759960000</v>
      </c>
      <c r="AT11" s="185">
        <f t="shared" si="5"/>
        <v>0</v>
      </c>
      <c r="AU11" s="184">
        <f t="shared" si="5"/>
        <v>6759960000</v>
      </c>
      <c r="AV11" s="182"/>
      <c r="AW11" s="183">
        <f>SUM(AW10)</f>
        <v>25259507990.192001</v>
      </c>
      <c r="AX11" s="186">
        <f>AX10</f>
        <v>6759960000</v>
      </c>
      <c r="AY11" s="185">
        <f>SUM(AY10)</f>
        <v>0</v>
      </c>
      <c r="AZ11" s="184">
        <f>SUM(AZ10)</f>
        <v>32019467990.192001</v>
      </c>
      <c r="BA11" s="183">
        <f>SUM(BA10)</f>
        <v>22259507990.192001</v>
      </c>
      <c r="BB11" s="186">
        <f>BB10</f>
        <v>6759960000</v>
      </c>
      <c r="BC11" s="185">
        <f>SUM(BC10)</f>
        <v>0</v>
      </c>
      <c r="BD11" s="184">
        <f>SUM(BD10)</f>
        <v>29019467990.192001</v>
      </c>
      <c r="BE11" s="182"/>
      <c r="BF11" s="183">
        <f>SUM(BF10:BF10)</f>
        <v>0</v>
      </c>
      <c r="BG11" s="185">
        <f>SUM(BG10:BG10)</f>
        <v>29019467990.192001</v>
      </c>
      <c r="BH11" s="185">
        <f>SUM(BH10:BH10)</f>
        <v>3000000000</v>
      </c>
      <c r="BI11" s="185">
        <f>SUM(BI10:BI10)</f>
        <v>0</v>
      </c>
      <c r="BJ11" s="185">
        <f>SUM(BJ10:BJ10)</f>
        <v>0</v>
      </c>
      <c r="BK11" s="187">
        <f>SUM(BF11:BJ11)</f>
        <v>32019467990.192001</v>
      </c>
      <c r="BL11" s="183">
        <f t="shared" ref="BL11:BQ11" si="6">SUM(BL10:BL10)</f>
        <v>0</v>
      </c>
      <c r="BM11" s="185">
        <f t="shared" si="6"/>
        <v>0</v>
      </c>
      <c r="BN11" s="185">
        <f t="shared" si="6"/>
        <v>0</v>
      </c>
      <c r="BO11" s="185">
        <f t="shared" si="6"/>
        <v>0</v>
      </c>
      <c r="BP11" s="185">
        <f t="shared" si="6"/>
        <v>0</v>
      </c>
      <c r="BQ11" s="184">
        <f t="shared" si="6"/>
        <v>0</v>
      </c>
      <c r="BR11" s="188">
        <f t="shared" ref="BR11" si="7">BQ11+BK11</f>
        <v>32019467990.192001</v>
      </c>
    </row>
    <row r="12" spans="1:70" ht="267.75" customHeight="1" thickBot="1">
      <c r="A12" s="17">
        <v>1</v>
      </c>
      <c r="B12" s="157" t="s">
        <v>1343</v>
      </c>
      <c r="C12" s="174" t="s">
        <v>1344</v>
      </c>
      <c r="D12" s="175" t="s">
        <v>1348</v>
      </c>
      <c r="E12" s="176" t="s">
        <v>1347</v>
      </c>
      <c r="F12" s="177" t="s">
        <v>1350</v>
      </c>
      <c r="G12" s="178">
        <v>456</v>
      </c>
      <c r="H12" s="179">
        <v>513</v>
      </c>
      <c r="I12" s="179">
        <v>627</v>
      </c>
      <c r="J12" s="179">
        <v>684</v>
      </c>
      <c r="K12" s="180">
        <f>SUM(G12:J12)</f>
        <v>2280</v>
      </c>
      <c r="L12" s="180">
        <f>M12/K12</f>
        <v>37291106.174307063</v>
      </c>
      <c r="M12" s="113">
        <v>85023722077.420105</v>
      </c>
      <c r="O12" s="159">
        <v>2250</v>
      </c>
      <c r="P12" s="160">
        <v>54212000000</v>
      </c>
      <c r="Q12" s="159">
        <v>2000</v>
      </c>
      <c r="R12" s="160">
        <v>68385201794.650002</v>
      </c>
      <c r="S12" s="159">
        <v>1196</v>
      </c>
      <c r="T12" s="160">
        <v>10400998342.762001</v>
      </c>
      <c r="U12" s="159">
        <f>S12/8*12</f>
        <v>1794</v>
      </c>
      <c r="V12" s="160">
        <v>66244173036.097992</v>
      </c>
      <c r="W12" s="161">
        <v>30651627917.128136</v>
      </c>
      <c r="X12" s="162">
        <v>52672104160</v>
      </c>
      <c r="Y12" s="163">
        <f>SUM(W12:X12)</f>
        <v>83323732077.128143</v>
      </c>
      <c r="Z12" s="161">
        <v>0</v>
      </c>
      <c r="AA12" s="162">
        <v>0</v>
      </c>
      <c r="AB12" s="163">
        <f>SUM(Z12:AA12)</f>
        <v>0</v>
      </c>
      <c r="AD12" s="164"/>
      <c r="AE12" s="165"/>
      <c r="AF12" s="166">
        <f>AE12+AD12</f>
        <v>0</v>
      </c>
      <c r="AG12" s="167">
        <v>0</v>
      </c>
      <c r="AH12" s="165"/>
      <c r="AI12" s="166">
        <f>AH12+AG12</f>
        <v>0</v>
      </c>
      <c r="AJ12" s="167">
        <v>0</v>
      </c>
      <c r="AK12" s="165"/>
      <c r="AL12" s="166">
        <f>AK12+AJ12</f>
        <v>0</v>
      </c>
      <c r="AM12" s="167">
        <v>0</v>
      </c>
      <c r="AN12" s="165"/>
      <c r="AO12" s="166">
        <f>AN12+AM12</f>
        <v>0</v>
      </c>
      <c r="AP12" s="167">
        <v>1699990000</v>
      </c>
      <c r="AQ12" s="165"/>
      <c r="AR12" s="166">
        <f>AQ12+AP12</f>
        <v>1699990000</v>
      </c>
      <c r="AS12" s="167">
        <v>0</v>
      </c>
      <c r="AT12" s="165">
        <v>0</v>
      </c>
      <c r="AU12" s="166">
        <f>AT12+AS12</f>
        <v>0</v>
      </c>
      <c r="AW12" s="167">
        <f>Y12</f>
        <v>83323732077.128143</v>
      </c>
      <c r="AX12" s="167">
        <f>AR12</f>
        <v>1699990000</v>
      </c>
      <c r="AY12" s="165">
        <v>0</v>
      </c>
      <c r="AZ12" s="166">
        <f>AY12+AX12+AW12</f>
        <v>85023722077.128143</v>
      </c>
      <c r="BA12" s="167">
        <f>AB12</f>
        <v>0</v>
      </c>
      <c r="BB12" s="167">
        <f>AU12</f>
        <v>0</v>
      </c>
      <c r="BC12" s="165">
        <v>0</v>
      </c>
      <c r="BD12" s="166">
        <f>BC12+BB12+BA12</f>
        <v>0</v>
      </c>
      <c r="BF12" s="159">
        <v>0</v>
      </c>
      <c r="BG12" s="168">
        <f>BD12</f>
        <v>0</v>
      </c>
      <c r="BH12" s="168">
        <v>85023722077</v>
      </c>
      <c r="BI12" s="168">
        <v>0</v>
      </c>
      <c r="BJ12" s="168">
        <v>0</v>
      </c>
      <c r="BK12" s="169">
        <f>SUM(BF12:BJ12)</f>
        <v>85023722077</v>
      </c>
      <c r="BL12" s="170">
        <v>0</v>
      </c>
      <c r="BM12" s="171">
        <v>0</v>
      </c>
      <c r="BN12" s="171">
        <v>0</v>
      </c>
      <c r="BO12" s="171">
        <v>0</v>
      </c>
      <c r="BP12" s="171">
        <v>0</v>
      </c>
      <c r="BQ12" s="172">
        <f>SUM(BL12:BP12)</f>
        <v>0</v>
      </c>
      <c r="BR12" s="173">
        <f>BQ12+BK12</f>
        <v>85023722077</v>
      </c>
    </row>
    <row r="13" spans="1:70" s="124" customFormat="1" ht="83.25" customHeight="1" thickBot="1">
      <c r="A13" s="281" t="s">
        <v>20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3"/>
      <c r="M13" s="158">
        <f>M12</f>
        <v>85023722077.420105</v>
      </c>
      <c r="N13" s="118"/>
      <c r="O13" s="119">
        <f t="shared" ref="O13:AB13" si="8">SUM(O12:O12)</f>
        <v>2250</v>
      </c>
      <c r="P13" s="120">
        <f t="shared" si="8"/>
        <v>54212000000</v>
      </c>
      <c r="Q13" s="119">
        <f t="shared" si="8"/>
        <v>2000</v>
      </c>
      <c r="R13" s="120">
        <f t="shared" si="8"/>
        <v>68385201794.650002</v>
      </c>
      <c r="S13" s="119">
        <f t="shared" si="8"/>
        <v>1196</v>
      </c>
      <c r="T13" s="120">
        <f t="shared" si="8"/>
        <v>10400998342.762001</v>
      </c>
      <c r="U13" s="119">
        <f t="shared" si="8"/>
        <v>1794</v>
      </c>
      <c r="V13" s="120">
        <f t="shared" si="8"/>
        <v>66244173036.097992</v>
      </c>
      <c r="W13" s="119">
        <f t="shared" si="8"/>
        <v>30651627917.128136</v>
      </c>
      <c r="X13" s="121">
        <f t="shared" si="8"/>
        <v>52672104160</v>
      </c>
      <c r="Y13" s="120">
        <f t="shared" si="8"/>
        <v>83323732077.128143</v>
      </c>
      <c r="Z13" s="119">
        <f t="shared" si="8"/>
        <v>0</v>
      </c>
      <c r="AA13" s="121">
        <f t="shared" si="8"/>
        <v>0</v>
      </c>
      <c r="AB13" s="120">
        <f t="shared" si="8"/>
        <v>0</v>
      </c>
      <c r="AC13" s="118"/>
      <c r="AD13" s="119">
        <f t="shared" ref="AD13:AU13" si="9">SUM(AD12)</f>
        <v>0</v>
      </c>
      <c r="AE13" s="122">
        <f t="shared" si="9"/>
        <v>0</v>
      </c>
      <c r="AF13" s="121">
        <f t="shared" si="9"/>
        <v>0</v>
      </c>
      <c r="AG13" s="119">
        <f t="shared" si="9"/>
        <v>0</v>
      </c>
      <c r="AH13" s="122">
        <f t="shared" si="9"/>
        <v>0</v>
      </c>
      <c r="AI13" s="121">
        <f t="shared" si="9"/>
        <v>0</v>
      </c>
      <c r="AJ13" s="119">
        <f t="shared" si="9"/>
        <v>0</v>
      </c>
      <c r="AK13" s="122">
        <f t="shared" si="9"/>
        <v>0</v>
      </c>
      <c r="AL13" s="121">
        <f t="shared" si="9"/>
        <v>0</v>
      </c>
      <c r="AM13" s="119">
        <f t="shared" si="9"/>
        <v>0</v>
      </c>
      <c r="AN13" s="122">
        <f t="shared" si="9"/>
        <v>0</v>
      </c>
      <c r="AO13" s="121">
        <f t="shared" si="9"/>
        <v>0</v>
      </c>
      <c r="AP13" s="119">
        <f t="shared" si="9"/>
        <v>1699990000</v>
      </c>
      <c r="AQ13" s="121">
        <f t="shared" si="9"/>
        <v>0</v>
      </c>
      <c r="AR13" s="120">
        <f t="shared" si="9"/>
        <v>1699990000</v>
      </c>
      <c r="AS13" s="119">
        <f t="shared" si="9"/>
        <v>0</v>
      </c>
      <c r="AT13" s="121">
        <f t="shared" si="9"/>
        <v>0</v>
      </c>
      <c r="AU13" s="120">
        <f t="shared" si="9"/>
        <v>0</v>
      </c>
      <c r="AV13" s="118"/>
      <c r="AW13" s="119">
        <f>SUM(AW12)</f>
        <v>83323732077.128143</v>
      </c>
      <c r="AX13" s="122">
        <f>AX12</f>
        <v>1699990000</v>
      </c>
      <c r="AY13" s="121">
        <f>SUM(AY12)</f>
        <v>0</v>
      </c>
      <c r="AZ13" s="120">
        <f>SUM(AZ12)</f>
        <v>85023722077.128143</v>
      </c>
      <c r="BA13" s="119">
        <f>SUM(BA12)</f>
        <v>0</v>
      </c>
      <c r="BB13" s="122"/>
      <c r="BC13" s="121">
        <f>SUM(BC12)</f>
        <v>0</v>
      </c>
      <c r="BD13" s="120">
        <f>SUM(BD12)</f>
        <v>0</v>
      </c>
      <c r="BE13" s="118"/>
      <c r="BF13" s="119">
        <f>SUM(BF12:BF12)</f>
        <v>0</v>
      </c>
      <c r="BG13" s="121">
        <f>SUM(BG12:BG12)</f>
        <v>0</v>
      </c>
      <c r="BH13" s="121">
        <f>SUM(BH12:BH12)</f>
        <v>85023722077</v>
      </c>
      <c r="BI13" s="121">
        <f>SUM(BI12:BI12)</f>
        <v>0</v>
      </c>
      <c r="BJ13" s="121">
        <f>SUM(BJ12:BJ12)</f>
        <v>0</v>
      </c>
      <c r="BK13" s="123">
        <f t="shared" ref="BK13" si="10">SUM(BF13:BJ13)</f>
        <v>85023722077</v>
      </c>
      <c r="BL13" s="119">
        <f t="shared" ref="BL13:BQ13" si="11">SUM(BL12:BL12)</f>
        <v>0</v>
      </c>
      <c r="BM13" s="121">
        <f t="shared" si="11"/>
        <v>0</v>
      </c>
      <c r="BN13" s="121">
        <f t="shared" si="11"/>
        <v>0</v>
      </c>
      <c r="BO13" s="121">
        <f t="shared" si="11"/>
        <v>0</v>
      </c>
      <c r="BP13" s="121">
        <f t="shared" si="11"/>
        <v>0</v>
      </c>
      <c r="BQ13" s="120">
        <f t="shared" si="11"/>
        <v>0</v>
      </c>
      <c r="BR13" s="117">
        <f t="shared" ref="BR13" si="12">BQ13+BK13</f>
        <v>85023722077</v>
      </c>
    </row>
    <row r="14" spans="1:70" ht="267.75" customHeight="1" thickBot="1">
      <c r="A14" s="17">
        <v>1</v>
      </c>
      <c r="B14" s="157" t="s">
        <v>1353</v>
      </c>
      <c r="C14" s="174" t="s">
        <v>1352</v>
      </c>
      <c r="D14" s="175" t="s">
        <v>1348</v>
      </c>
      <c r="E14" s="176" t="s">
        <v>1347</v>
      </c>
      <c r="F14" s="177" t="s">
        <v>1350</v>
      </c>
      <c r="G14" s="178">
        <v>6</v>
      </c>
      <c r="H14" s="179">
        <v>12</v>
      </c>
      <c r="I14" s="179">
        <v>18</v>
      </c>
      <c r="J14" s="179">
        <v>15</v>
      </c>
      <c r="K14" s="180">
        <f>SUM(G14:J14)</f>
        <v>51</v>
      </c>
      <c r="L14" s="180">
        <f>M14/K14</f>
        <v>395806142.06531996</v>
      </c>
      <c r="M14" s="113">
        <v>20186113245.331318</v>
      </c>
      <c r="O14" s="159">
        <v>0</v>
      </c>
      <c r="P14" s="160">
        <v>0</v>
      </c>
      <c r="Q14" s="159">
        <v>0</v>
      </c>
      <c r="R14" s="160">
        <v>23750000</v>
      </c>
      <c r="S14" s="159">
        <v>0</v>
      </c>
      <c r="T14" s="160">
        <v>11962827.200000001</v>
      </c>
      <c r="U14" s="159">
        <v>0</v>
      </c>
      <c r="V14" s="160">
        <v>23466223.125</v>
      </c>
      <c r="W14" s="161">
        <v>2760506849.3150687</v>
      </c>
      <c r="X14" s="162">
        <v>10025616396</v>
      </c>
      <c r="Y14" s="163">
        <f>SUM(W14:X14)</f>
        <v>12786123245.315069</v>
      </c>
      <c r="Z14" s="161">
        <f>W14</f>
        <v>2760506849.3150687</v>
      </c>
      <c r="AA14" s="162">
        <v>25616396</v>
      </c>
      <c r="AB14" s="163">
        <f>SUM(Z14:AA14)</f>
        <v>2786123245.3150687</v>
      </c>
      <c r="AD14" s="164">
        <v>0</v>
      </c>
      <c r="AE14" s="165">
        <v>0</v>
      </c>
      <c r="AF14" s="166">
        <f>AE14+AD14</f>
        <v>0</v>
      </c>
      <c r="AG14" s="167">
        <v>0</v>
      </c>
      <c r="AH14" s="165">
        <v>0</v>
      </c>
      <c r="AI14" s="166">
        <f>AH14+AG14</f>
        <v>0</v>
      </c>
      <c r="AJ14" s="167">
        <v>0</v>
      </c>
      <c r="AK14" s="165">
        <v>0</v>
      </c>
      <c r="AL14" s="166">
        <f>AK14+AJ14</f>
        <v>0</v>
      </c>
      <c r="AM14" s="167">
        <v>0</v>
      </c>
      <c r="AN14" s="165">
        <v>0</v>
      </c>
      <c r="AO14" s="166">
        <f>AN14+AM14</f>
        <v>0</v>
      </c>
      <c r="AP14" s="167">
        <v>7399990000</v>
      </c>
      <c r="AQ14" s="165">
        <v>0</v>
      </c>
      <c r="AR14" s="166">
        <f>AQ14+AP14</f>
        <v>7399990000</v>
      </c>
      <c r="AS14" s="167">
        <v>7399990000</v>
      </c>
      <c r="AT14" s="165">
        <v>0</v>
      </c>
      <c r="AU14" s="166">
        <f>AT14+AS14</f>
        <v>7399990000</v>
      </c>
      <c r="AW14" s="167">
        <f>Y14</f>
        <v>12786123245.315069</v>
      </c>
      <c r="AX14" s="167">
        <f>AR14</f>
        <v>7399990000</v>
      </c>
      <c r="AY14" s="165">
        <v>0</v>
      </c>
      <c r="AZ14" s="166">
        <f>AY14+AX14+AW14</f>
        <v>20186113245.315071</v>
      </c>
      <c r="BA14" s="167">
        <f>AB14</f>
        <v>2786123245.3150687</v>
      </c>
      <c r="BB14" s="167">
        <f>AU14</f>
        <v>7399990000</v>
      </c>
      <c r="BC14" s="165">
        <v>0</v>
      </c>
      <c r="BD14" s="166">
        <f>BC14+BB14+BA14</f>
        <v>10186113245.315069</v>
      </c>
      <c r="BF14" s="159">
        <v>0</v>
      </c>
      <c r="BG14" s="168">
        <f>BD14</f>
        <v>10186113245.315069</v>
      </c>
      <c r="BH14" s="168">
        <v>10000000000</v>
      </c>
      <c r="BI14" s="168">
        <v>0</v>
      </c>
      <c r="BJ14" s="168">
        <v>0</v>
      </c>
      <c r="BK14" s="169">
        <f>SUM(BF14:BJ14)</f>
        <v>20186113245.315071</v>
      </c>
      <c r="BL14" s="170">
        <v>0</v>
      </c>
      <c r="BM14" s="171">
        <v>0</v>
      </c>
      <c r="BN14" s="171">
        <v>0</v>
      </c>
      <c r="BO14" s="171">
        <v>0</v>
      </c>
      <c r="BP14" s="171">
        <v>0</v>
      </c>
      <c r="BQ14" s="172">
        <f>SUM(BL14:BP14)</f>
        <v>0</v>
      </c>
      <c r="BR14" s="173">
        <f>BQ14+BK14</f>
        <v>20186113245.315071</v>
      </c>
    </row>
    <row r="15" spans="1:70" s="124" customFormat="1" ht="83.25" customHeight="1" thickBot="1">
      <c r="A15" s="281" t="s">
        <v>20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3"/>
      <c r="M15" s="158">
        <f>M14</f>
        <v>20186113245.331318</v>
      </c>
      <c r="N15" s="118"/>
      <c r="O15" s="119">
        <f t="shared" ref="O15:AB15" si="13">SUM(O14:O14)</f>
        <v>0</v>
      </c>
      <c r="P15" s="120">
        <f t="shared" si="13"/>
        <v>0</v>
      </c>
      <c r="Q15" s="119">
        <f t="shared" si="13"/>
        <v>0</v>
      </c>
      <c r="R15" s="120">
        <f t="shared" si="13"/>
        <v>23750000</v>
      </c>
      <c r="S15" s="119">
        <f t="shared" si="13"/>
        <v>0</v>
      </c>
      <c r="T15" s="120">
        <f t="shared" si="13"/>
        <v>11962827.200000001</v>
      </c>
      <c r="U15" s="119">
        <f t="shared" si="13"/>
        <v>0</v>
      </c>
      <c r="V15" s="120">
        <f t="shared" si="13"/>
        <v>23466223.125</v>
      </c>
      <c r="W15" s="119">
        <f t="shared" si="13"/>
        <v>2760506849.3150687</v>
      </c>
      <c r="X15" s="121">
        <f t="shared" si="13"/>
        <v>10025616396</v>
      </c>
      <c r="Y15" s="120">
        <f t="shared" si="13"/>
        <v>12786123245.315069</v>
      </c>
      <c r="Z15" s="119">
        <f t="shared" si="13"/>
        <v>2760506849.3150687</v>
      </c>
      <c r="AA15" s="121">
        <f t="shared" si="13"/>
        <v>25616396</v>
      </c>
      <c r="AB15" s="120">
        <f t="shared" si="13"/>
        <v>2786123245.3150687</v>
      </c>
      <c r="AC15" s="118"/>
      <c r="AD15" s="119">
        <f t="shared" ref="AD15:AU15" si="14">SUM(AD14)</f>
        <v>0</v>
      </c>
      <c r="AE15" s="122">
        <f t="shared" si="14"/>
        <v>0</v>
      </c>
      <c r="AF15" s="121">
        <f t="shared" si="14"/>
        <v>0</v>
      </c>
      <c r="AG15" s="119">
        <f t="shared" si="14"/>
        <v>0</v>
      </c>
      <c r="AH15" s="122">
        <f t="shared" si="14"/>
        <v>0</v>
      </c>
      <c r="AI15" s="121">
        <f t="shared" si="14"/>
        <v>0</v>
      </c>
      <c r="AJ15" s="119">
        <f t="shared" si="14"/>
        <v>0</v>
      </c>
      <c r="AK15" s="122">
        <f t="shared" si="14"/>
        <v>0</v>
      </c>
      <c r="AL15" s="121">
        <f t="shared" si="14"/>
        <v>0</v>
      </c>
      <c r="AM15" s="119">
        <f t="shared" si="14"/>
        <v>0</v>
      </c>
      <c r="AN15" s="122">
        <f t="shared" si="14"/>
        <v>0</v>
      </c>
      <c r="AO15" s="121">
        <f t="shared" si="14"/>
        <v>0</v>
      </c>
      <c r="AP15" s="119">
        <f t="shared" si="14"/>
        <v>7399990000</v>
      </c>
      <c r="AQ15" s="121">
        <f t="shared" si="14"/>
        <v>0</v>
      </c>
      <c r="AR15" s="120">
        <f t="shared" si="14"/>
        <v>7399990000</v>
      </c>
      <c r="AS15" s="119">
        <f t="shared" si="14"/>
        <v>7399990000</v>
      </c>
      <c r="AT15" s="121">
        <f t="shared" si="14"/>
        <v>0</v>
      </c>
      <c r="AU15" s="120">
        <f t="shared" si="14"/>
        <v>7399990000</v>
      </c>
      <c r="AV15" s="118"/>
      <c r="AW15" s="119">
        <f>SUM(AW14)</f>
        <v>12786123245.315069</v>
      </c>
      <c r="AX15" s="122">
        <f>AX14</f>
        <v>7399990000</v>
      </c>
      <c r="AY15" s="121">
        <f>SUM(AY14)</f>
        <v>0</v>
      </c>
      <c r="AZ15" s="120">
        <f>SUM(AZ14)</f>
        <v>20186113245.315071</v>
      </c>
      <c r="BA15" s="119">
        <f>SUM(BA14)</f>
        <v>2786123245.3150687</v>
      </c>
      <c r="BB15" s="122">
        <f>BB14</f>
        <v>7399990000</v>
      </c>
      <c r="BC15" s="121">
        <f>SUM(BC14)</f>
        <v>0</v>
      </c>
      <c r="BD15" s="120">
        <f>SUM(BD14)</f>
        <v>10186113245.315069</v>
      </c>
      <c r="BE15" s="118"/>
      <c r="BF15" s="119">
        <f>SUM(BF14:BF14)</f>
        <v>0</v>
      </c>
      <c r="BG15" s="121">
        <f>SUM(BG14:BG14)</f>
        <v>10186113245.315069</v>
      </c>
      <c r="BH15" s="121">
        <f>SUM(BH14:BH14)</f>
        <v>10000000000</v>
      </c>
      <c r="BI15" s="121">
        <f>SUM(BI14:BI14)</f>
        <v>0</v>
      </c>
      <c r="BJ15" s="121">
        <f>SUM(BJ14:BJ14)</f>
        <v>0</v>
      </c>
      <c r="BK15" s="123">
        <f t="shared" ref="BK15" si="15">SUM(BF15:BJ15)</f>
        <v>20186113245.315071</v>
      </c>
      <c r="BL15" s="119">
        <f t="shared" ref="BL15:BQ15" si="16">SUM(BL14:BL14)</f>
        <v>0</v>
      </c>
      <c r="BM15" s="121">
        <f t="shared" si="16"/>
        <v>0</v>
      </c>
      <c r="BN15" s="121">
        <f t="shared" si="16"/>
        <v>0</v>
      </c>
      <c r="BO15" s="121">
        <f t="shared" si="16"/>
        <v>0</v>
      </c>
      <c r="BP15" s="121">
        <f t="shared" si="16"/>
        <v>0</v>
      </c>
      <c r="BQ15" s="120">
        <f t="shared" si="16"/>
        <v>0</v>
      </c>
      <c r="BR15" s="117">
        <f t="shared" ref="BR15" si="17">BQ15+BK15</f>
        <v>20186113245.315071</v>
      </c>
    </row>
    <row r="16" spans="1:70" ht="74.25" customHeight="1" thickBot="1">
      <c r="A16" s="284" t="s">
        <v>20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6"/>
      <c r="M16" s="114">
        <f>M15+M13+M11+M9</f>
        <v>423850190713.20905</v>
      </c>
      <c r="O16" s="114">
        <f t="shared" ref="O16:AB16" si="18">O15+O13+O11+O9</f>
        <v>7703748</v>
      </c>
      <c r="P16" s="114">
        <f t="shared" si="18"/>
        <v>258152000000</v>
      </c>
      <c r="Q16" s="114">
        <f t="shared" si="18"/>
        <v>15564500</v>
      </c>
      <c r="R16" s="114">
        <f t="shared" si="18"/>
        <v>269032261025.34998</v>
      </c>
      <c r="S16" s="114">
        <f t="shared" si="18"/>
        <v>10267196</v>
      </c>
      <c r="T16" s="114">
        <f t="shared" si="18"/>
        <v>132950092425.60001</v>
      </c>
      <c r="U16" s="114">
        <f t="shared" si="18"/>
        <v>15620794</v>
      </c>
      <c r="V16" s="114">
        <f t="shared" si="18"/>
        <v>305906417676.60437</v>
      </c>
      <c r="W16" s="114">
        <f t="shared" si="18"/>
        <v>158128106756.56696</v>
      </c>
      <c r="X16" s="114">
        <f t="shared" si="18"/>
        <v>238793503957</v>
      </c>
      <c r="Y16" s="114">
        <f t="shared" si="18"/>
        <v>396921610713.56696</v>
      </c>
      <c r="Z16" s="114">
        <f t="shared" si="18"/>
        <v>127476478839.43881</v>
      </c>
      <c r="AA16" s="114">
        <f t="shared" si="18"/>
        <v>78985301702</v>
      </c>
      <c r="AB16" s="114">
        <f t="shared" si="18"/>
        <v>206461780541.43884</v>
      </c>
      <c r="AD16" s="114">
        <f t="shared" ref="AD16:AU16" si="19">AD15+AD13+AD11+AD9</f>
        <v>0</v>
      </c>
      <c r="AE16" s="114">
        <f t="shared" si="19"/>
        <v>0</v>
      </c>
      <c r="AF16" s="114">
        <f t="shared" si="19"/>
        <v>0</v>
      </c>
      <c r="AG16" s="114">
        <f t="shared" si="19"/>
        <v>0</v>
      </c>
      <c r="AH16" s="114">
        <f t="shared" si="19"/>
        <v>0</v>
      </c>
      <c r="AI16" s="114">
        <f t="shared" si="19"/>
        <v>0</v>
      </c>
      <c r="AJ16" s="114">
        <f t="shared" si="19"/>
        <v>0</v>
      </c>
      <c r="AK16" s="114">
        <f t="shared" si="19"/>
        <v>0</v>
      </c>
      <c r="AL16" s="114">
        <f t="shared" si="19"/>
        <v>0</v>
      </c>
      <c r="AM16" s="114">
        <f t="shared" si="19"/>
        <v>0</v>
      </c>
      <c r="AN16" s="114">
        <f t="shared" si="19"/>
        <v>0</v>
      </c>
      <c r="AO16" s="114">
        <f t="shared" si="19"/>
        <v>0</v>
      </c>
      <c r="AP16" s="114">
        <f t="shared" si="19"/>
        <v>26928580000</v>
      </c>
      <c r="AQ16" s="114">
        <f t="shared" si="19"/>
        <v>0</v>
      </c>
      <c r="AR16" s="114">
        <f>AR15+AR13+AR11+AR9</f>
        <v>26928580000</v>
      </c>
      <c r="AS16" s="114">
        <f t="shared" si="19"/>
        <v>14159950000</v>
      </c>
      <c r="AT16" s="114">
        <f t="shared" si="19"/>
        <v>0</v>
      </c>
      <c r="AU16" s="114">
        <f t="shared" si="19"/>
        <v>14159950000</v>
      </c>
      <c r="AW16" s="114">
        <f>AW15+AW13+AW11+AW9</f>
        <v>396921610713.56696</v>
      </c>
      <c r="AX16" s="114">
        <f t="shared" ref="AX16:BD16" si="20">AX15+AX13+AX11+AX9</f>
        <v>26928580000</v>
      </c>
      <c r="AY16" s="114">
        <f t="shared" si="20"/>
        <v>0</v>
      </c>
      <c r="AZ16" s="114">
        <f t="shared" si="20"/>
        <v>423850190713.56696</v>
      </c>
      <c r="BA16" s="225">
        <f t="shared" si="20"/>
        <v>206461780541.43884</v>
      </c>
      <c r="BB16" s="114">
        <f t="shared" si="20"/>
        <v>14159950000</v>
      </c>
      <c r="BC16" s="114">
        <f t="shared" si="20"/>
        <v>0</v>
      </c>
      <c r="BD16" s="114">
        <f t="shared" si="20"/>
        <v>220621730541.43884</v>
      </c>
      <c r="BF16" s="114">
        <f t="shared" ref="BF16:BR16" si="21">BF15+BF13+BF11+BF9</f>
        <v>0</v>
      </c>
      <c r="BG16" s="114">
        <f t="shared" si="21"/>
        <v>220621730541.43884</v>
      </c>
      <c r="BH16" s="114">
        <f t="shared" si="21"/>
        <v>196228460171.33441</v>
      </c>
      <c r="BI16" s="114">
        <f t="shared" si="21"/>
        <v>0</v>
      </c>
      <c r="BJ16" s="114">
        <f t="shared" si="21"/>
        <v>0</v>
      </c>
      <c r="BK16" s="114">
        <f>BK15+BK13+BK11+BK9</f>
        <v>416850190712.77325</v>
      </c>
      <c r="BL16" s="114">
        <f t="shared" si="21"/>
        <v>0</v>
      </c>
      <c r="BM16" s="114">
        <f t="shared" si="21"/>
        <v>0</v>
      </c>
      <c r="BN16" s="114">
        <f t="shared" si="21"/>
        <v>7000000000</v>
      </c>
      <c r="BO16" s="114">
        <f t="shared" si="21"/>
        <v>0</v>
      </c>
      <c r="BP16" s="114">
        <f t="shared" si="21"/>
        <v>0</v>
      </c>
      <c r="BQ16" s="114">
        <f t="shared" si="21"/>
        <v>7000000000</v>
      </c>
      <c r="BR16" s="114">
        <f t="shared" si="21"/>
        <v>423850190712.77325</v>
      </c>
    </row>
  </sheetData>
  <mergeCells count="50">
    <mergeCell ref="A11:L11"/>
    <mergeCell ref="A9:L9"/>
    <mergeCell ref="A13:L13"/>
    <mergeCell ref="A15:L15"/>
    <mergeCell ref="A16:L16"/>
    <mergeCell ref="BK6:BK7"/>
    <mergeCell ref="BL6:BM6"/>
    <mergeCell ref="BN6:BO6"/>
    <mergeCell ref="AP6:AR6"/>
    <mergeCell ref="O5:P5"/>
    <mergeCell ref="AP5:AU5"/>
    <mergeCell ref="AW5:BD5"/>
    <mergeCell ref="BF5:BK5"/>
    <mergeCell ref="BL5:BQ5"/>
    <mergeCell ref="BH6:BI6"/>
    <mergeCell ref="BJ6:BJ7"/>
    <mergeCell ref="AG6:AI6"/>
    <mergeCell ref="AJ6:AL6"/>
    <mergeCell ref="AM6:AO6"/>
    <mergeCell ref="AW6:AZ6"/>
    <mergeCell ref="BA6:BD6"/>
    <mergeCell ref="A5:C6"/>
    <mergeCell ref="D5:E6"/>
    <mergeCell ref="F5:K6"/>
    <mergeCell ref="L5:L7"/>
    <mergeCell ref="M5:M7"/>
    <mergeCell ref="A1:BR1"/>
    <mergeCell ref="A2:BR2"/>
    <mergeCell ref="A3:BR3"/>
    <mergeCell ref="A4:M4"/>
    <mergeCell ref="AD4:AU4"/>
    <mergeCell ref="BF4:BR4"/>
    <mergeCell ref="O4:AB4"/>
    <mergeCell ref="AW4:BD4"/>
    <mergeCell ref="BR5:BR7"/>
    <mergeCell ref="O6:P6"/>
    <mergeCell ref="Q6:R6"/>
    <mergeCell ref="S6:T6"/>
    <mergeCell ref="U6:V6"/>
    <mergeCell ref="W6:Y6"/>
    <mergeCell ref="AD6:AF6"/>
    <mergeCell ref="Q5:V5"/>
    <mergeCell ref="AD5:AF5"/>
    <mergeCell ref="AG5:AO5"/>
    <mergeCell ref="W5:AB5"/>
    <mergeCell ref="BP6:BP7"/>
    <mergeCell ref="BQ6:BQ7"/>
    <mergeCell ref="Z6:AB6"/>
    <mergeCell ref="AS6:AU6"/>
    <mergeCell ref="BF6:BG6"/>
  </mergeCells>
  <printOptions horizontalCentered="1"/>
  <pageMargins left="0" right="0" top="0" bottom="0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4659260841701"/>
    <pageSetUpPr fitToPage="1"/>
  </sheetPr>
  <dimension ref="C1:H82"/>
  <sheetViews>
    <sheetView rightToLeft="1" workbookViewId="0">
      <selection activeCell="F4" sqref="F4:F5"/>
    </sheetView>
  </sheetViews>
  <sheetFormatPr defaultRowHeight="15"/>
  <cols>
    <col min="1" max="1" width="1" customWidth="1"/>
    <col min="2" max="2" width="0.5703125" customWidth="1"/>
    <col min="3" max="3" width="45.5703125" customWidth="1"/>
    <col min="4" max="4" width="21.7109375" customWidth="1"/>
    <col min="5" max="5" width="45.5703125" customWidth="1"/>
    <col min="6" max="6" width="21.7109375" customWidth="1"/>
  </cols>
  <sheetData>
    <row r="1" spans="3:8" ht="15.75" thickBot="1"/>
    <row r="2" spans="3:8" s="46" customFormat="1" ht="39" customHeight="1" thickBot="1">
      <c r="C2" s="287" t="s">
        <v>1364</v>
      </c>
      <c r="D2" s="287"/>
      <c r="E2" s="287"/>
      <c r="F2" s="287"/>
    </row>
    <row r="3" spans="3:8" s="25" customFormat="1" ht="47.25" customHeight="1" thickBot="1">
      <c r="C3" s="288" t="s">
        <v>636</v>
      </c>
      <c r="D3" s="289"/>
      <c r="E3" s="288" t="s">
        <v>637</v>
      </c>
      <c r="F3" s="288"/>
    </row>
    <row r="4" spans="3:8" s="32" customFormat="1" ht="44.25" customHeight="1">
      <c r="C4" s="33" t="s">
        <v>5</v>
      </c>
      <c r="D4" s="34">
        <f>E36</f>
        <v>396921</v>
      </c>
      <c r="E4" s="35" t="s">
        <v>631</v>
      </c>
      <c r="F4" s="36">
        <f>E28</f>
        <v>196230</v>
      </c>
      <c r="H4" s="37"/>
    </row>
    <row r="5" spans="3:8" s="32" customFormat="1" ht="44.25" customHeight="1">
      <c r="C5" s="33" t="s">
        <v>629</v>
      </c>
      <c r="D5" s="34">
        <f>E51</f>
        <v>26928.579999999998</v>
      </c>
      <c r="E5" s="35" t="s">
        <v>632</v>
      </c>
      <c r="F5" s="36">
        <f>E47</f>
        <v>7000</v>
      </c>
      <c r="H5" s="37"/>
    </row>
    <row r="6" spans="3:8" s="32" customFormat="1" ht="44.25" customHeight="1" thickBot="1">
      <c r="C6" s="33" t="s">
        <v>630</v>
      </c>
      <c r="D6" s="34">
        <f>E75</f>
        <v>0</v>
      </c>
      <c r="E6" s="35" t="s">
        <v>633</v>
      </c>
      <c r="F6" s="36">
        <f>E67</f>
        <v>0</v>
      </c>
      <c r="H6" s="37"/>
    </row>
    <row r="7" spans="3:8" s="30" customFormat="1" ht="47.25" customHeight="1" thickBot="1">
      <c r="C7" s="26" t="s">
        <v>634</v>
      </c>
      <c r="D7" s="27">
        <f>SUM(D4:D6)</f>
        <v>423849.58</v>
      </c>
      <c r="E7" s="28" t="s">
        <v>635</v>
      </c>
      <c r="F7" s="29">
        <f>SUM(F4:F6)</f>
        <v>203230</v>
      </c>
    </row>
    <row r="8" spans="3:8">
      <c r="D8" s="24"/>
    </row>
    <row r="26" spans="3:6" ht="15.75" thickBot="1"/>
    <row r="27" spans="3:6" s="46" customFormat="1" ht="39" customHeight="1" thickBot="1">
      <c r="C27" s="287" t="s">
        <v>1365</v>
      </c>
      <c r="D27" s="287"/>
      <c r="E27" s="287"/>
      <c r="F27" s="287"/>
    </row>
    <row r="28" spans="3:6" s="32" customFormat="1" ht="37.5" customHeight="1" thickBot="1">
      <c r="C28" s="289" t="s">
        <v>631</v>
      </c>
      <c r="D28" s="290"/>
      <c r="E28" s="27">
        <f>SUM(E29:E35)</f>
        <v>196230</v>
      </c>
      <c r="F28" s="31"/>
    </row>
    <row r="29" spans="3:6" s="25" customFormat="1" ht="30" customHeight="1">
      <c r="C29" s="291" t="s">
        <v>658</v>
      </c>
      <c r="D29" s="292"/>
      <c r="E29" s="38">
        <f>'درآمدها '!V169-'درآمدها '!U169-7000</f>
        <v>189230</v>
      </c>
      <c r="F29" s="39"/>
    </row>
    <row r="30" spans="3:6" s="25" customFormat="1" ht="30" customHeight="1">
      <c r="C30" s="291" t="s">
        <v>660</v>
      </c>
      <c r="D30" s="292"/>
      <c r="E30" s="38"/>
      <c r="F30" s="39"/>
    </row>
    <row r="31" spans="3:6" s="25" customFormat="1" ht="30" customHeight="1">
      <c r="C31" s="291" t="s">
        <v>661</v>
      </c>
      <c r="D31" s="292"/>
      <c r="E31" s="38"/>
      <c r="F31" s="39"/>
    </row>
    <row r="32" spans="3:6" s="25" customFormat="1" ht="30" customHeight="1">
      <c r="C32" s="291" t="s">
        <v>662</v>
      </c>
      <c r="D32" s="292"/>
      <c r="E32" s="38"/>
      <c r="F32" s="39"/>
    </row>
    <row r="33" spans="3:6" s="25" customFormat="1" ht="30" customHeight="1">
      <c r="C33" s="291" t="s">
        <v>663</v>
      </c>
      <c r="D33" s="292"/>
      <c r="E33" s="38"/>
      <c r="F33" s="39"/>
    </row>
    <row r="34" spans="3:6" s="25" customFormat="1" ht="30" customHeight="1">
      <c r="C34" s="291" t="s">
        <v>664</v>
      </c>
      <c r="D34" s="292"/>
      <c r="E34" s="38">
        <f>'فرم شماره 1  '!BN16/1000000</f>
        <v>7000</v>
      </c>
      <c r="F34" s="39"/>
    </row>
    <row r="35" spans="3:6" s="25" customFormat="1" ht="30" customHeight="1" thickBot="1">
      <c r="C35" s="291" t="s">
        <v>665</v>
      </c>
      <c r="D35" s="292"/>
      <c r="E35" s="38"/>
      <c r="F35" s="39"/>
    </row>
    <row r="36" spans="3:6" s="32" customFormat="1" ht="37.5" customHeight="1" thickBot="1">
      <c r="C36" s="289" t="s">
        <v>659</v>
      </c>
      <c r="D36" s="290"/>
      <c r="E36" s="27">
        <f>SUM(E37:E44)</f>
        <v>396921</v>
      </c>
      <c r="F36" s="31"/>
    </row>
    <row r="37" spans="3:6" s="25" customFormat="1" ht="30" customHeight="1">
      <c r="C37" s="293" t="s">
        <v>666</v>
      </c>
      <c r="D37" s="294"/>
      <c r="E37" s="40">
        <f>'هزینه ها'!W35</f>
        <v>130651</v>
      </c>
      <c r="F37" s="41"/>
    </row>
    <row r="38" spans="3:6" s="25" customFormat="1" ht="30" customHeight="1">
      <c r="C38" s="293" t="s">
        <v>667</v>
      </c>
      <c r="D38" s="294"/>
      <c r="E38" s="40">
        <f>'هزینه ها'!W275+'هزینه ها'!W166</f>
        <v>195865</v>
      </c>
      <c r="F38" s="41"/>
    </row>
    <row r="39" spans="3:6" s="25" customFormat="1" ht="30" customHeight="1">
      <c r="C39" s="293" t="s">
        <v>668</v>
      </c>
      <c r="D39" s="294"/>
      <c r="E39" s="40">
        <f>'هزینه ها'!U166</f>
        <v>2000</v>
      </c>
      <c r="F39" s="41"/>
    </row>
    <row r="40" spans="3:6" s="25" customFormat="1" ht="30" customHeight="1">
      <c r="C40" s="293" t="s">
        <v>669</v>
      </c>
      <c r="D40" s="294"/>
      <c r="E40" s="40">
        <v>0</v>
      </c>
      <c r="F40" s="41"/>
    </row>
    <row r="41" spans="3:6" s="25" customFormat="1" ht="30" customHeight="1">
      <c r="C41" s="293" t="s">
        <v>670</v>
      </c>
      <c r="D41" s="294"/>
      <c r="E41" s="40">
        <f>'هزینه ها'!W205</f>
        <v>54905</v>
      </c>
      <c r="F41" s="41"/>
    </row>
    <row r="42" spans="3:6" s="25" customFormat="1" ht="30" customHeight="1">
      <c r="C42" s="293" t="s">
        <v>671</v>
      </c>
      <c r="D42" s="294"/>
      <c r="E42" s="40">
        <v>0</v>
      </c>
      <c r="F42" s="41"/>
    </row>
    <row r="43" spans="3:6" s="25" customFormat="1" ht="30" customHeight="1">
      <c r="C43" s="293" t="s">
        <v>672</v>
      </c>
      <c r="D43" s="294"/>
      <c r="E43" s="40">
        <v>0</v>
      </c>
      <c r="F43" s="41"/>
    </row>
    <row r="44" spans="3:6" s="25" customFormat="1" ht="30" customHeight="1" thickBot="1">
      <c r="C44" s="295" t="s">
        <v>673</v>
      </c>
      <c r="D44" s="296"/>
      <c r="E44" s="42">
        <f>'هزینه ها'!W252</f>
        <v>13500</v>
      </c>
      <c r="F44" s="43"/>
    </row>
    <row r="45" spans="3:6" ht="15.75" thickBot="1"/>
    <row r="46" spans="3:6" s="46" customFormat="1" ht="39" customHeight="1" thickBot="1">
      <c r="C46" s="287" t="s">
        <v>1366</v>
      </c>
      <c r="D46" s="287"/>
      <c r="E46" s="287"/>
      <c r="F46" s="287"/>
    </row>
    <row r="47" spans="3:6" s="32" customFormat="1" ht="47.25" customHeight="1" thickBot="1">
      <c r="C47" s="289" t="s">
        <v>674</v>
      </c>
      <c r="D47" s="290"/>
      <c r="E47" s="27">
        <f>SUM(E48:E50)</f>
        <v>7000</v>
      </c>
      <c r="F47" s="31"/>
    </row>
    <row r="48" spans="3:6" s="25" customFormat="1" ht="44.25" customHeight="1">
      <c r="C48" s="291" t="s">
        <v>676</v>
      </c>
      <c r="D48" s="292"/>
      <c r="E48" s="38">
        <f>'فرم شماره 1  '!BN16/1000000</f>
        <v>7000</v>
      </c>
      <c r="F48" s="39"/>
    </row>
    <row r="49" spans="3:6" s="25" customFormat="1" ht="44.25" customHeight="1">
      <c r="C49" s="291" t="s">
        <v>677</v>
      </c>
      <c r="D49" s="292"/>
      <c r="E49" s="38">
        <v>0</v>
      </c>
      <c r="F49" s="39"/>
    </row>
    <row r="50" spans="3:6" s="25" customFormat="1" ht="44.25" customHeight="1" thickBot="1">
      <c r="C50" s="291" t="s">
        <v>678</v>
      </c>
      <c r="D50" s="292"/>
      <c r="E50" s="38">
        <v>0</v>
      </c>
      <c r="F50" s="39"/>
    </row>
    <row r="51" spans="3:6" s="32" customFormat="1" ht="47.25" customHeight="1" thickBot="1">
      <c r="C51" s="289" t="s">
        <v>675</v>
      </c>
      <c r="D51" s="290"/>
      <c r="E51" s="27">
        <f>SUM(E52:E54)</f>
        <v>26928.579999999998</v>
      </c>
      <c r="F51" s="31"/>
    </row>
    <row r="52" spans="3:6" s="25" customFormat="1" ht="44.25" customHeight="1">
      <c r="C52" s="297" t="s">
        <v>676</v>
      </c>
      <c r="D52" s="298"/>
      <c r="E52" s="44">
        <f>'دارایی سرمایه ای'!U54</f>
        <v>26928.579999999998</v>
      </c>
      <c r="F52" s="45"/>
    </row>
    <row r="53" spans="3:6" s="25" customFormat="1" ht="44.25" customHeight="1">
      <c r="C53" s="293" t="s">
        <v>677</v>
      </c>
      <c r="D53" s="294"/>
      <c r="E53" s="40">
        <v>0</v>
      </c>
      <c r="F53" s="41"/>
    </row>
    <row r="54" spans="3:6" s="25" customFormat="1" ht="44.25" customHeight="1" thickBot="1">
      <c r="C54" s="295" t="s">
        <v>678</v>
      </c>
      <c r="D54" s="296"/>
      <c r="E54" s="42">
        <v>0</v>
      </c>
      <c r="F54" s="43"/>
    </row>
    <row r="65" spans="3:6" ht="30" customHeight="1" thickBot="1"/>
    <row r="66" spans="3:6" s="46" customFormat="1" ht="39" customHeight="1" thickBot="1">
      <c r="C66" s="287" t="s">
        <v>1367</v>
      </c>
      <c r="D66" s="287"/>
      <c r="E66" s="287"/>
      <c r="F66" s="287"/>
    </row>
    <row r="67" spans="3:6" s="32" customFormat="1" ht="47.25" customHeight="1" thickBot="1">
      <c r="C67" s="289" t="s">
        <v>679</v>
      </c>
      <c r="D67" s="290"/>
      <c r="E67" s="27">
        <f>SUM(E68:E74)</f>
        <v>0</v>
      </c>
      <c r="F67" s="31"/>
    </row>
    <row r="68" spans="3:6" s="25" customFormat="1" ht="30" customHeight="1">
      <c r="C68" s="291" t="s">
        <v>680</v>
      </c>
      <c r="D68" s="292"/>
      <c r="E68" s="38">
        <v>0</v>
      </c>
      <c r="F68" s="39"/>
    </row>
    <row r="69" spans="3:6" s="25" customFormat="1" ht="30" customHeight="1">
      <c r="C69" s="291" t="s">
        <v>681</v>
      </c>
      <c r="D69" s="292"/>
      <c r="E69" s="38">
        <v>0</v>
      </c>
      <c r="F69" s="39"/>
    </row>
    <row r="70" spans="3:6" s="25" customFormat="1" ht="30" customHeight="1">
      <c r="C70" s="291" t="s">
        <v>682</v>
      </c>
      <c r="D70" s="292"/>
      <c r="E70" s="38">
        <v>0</v>
      </c>
      <c r="F70" s="39"/>
    </row>
    <row r="71" spans="3:6" s="25" customFormat="1" ht="30" customHeight="1">
      <c r="C71" s="291" t="s">
        <v>683</v>
      </c>
      <c r="D71" s="292"/>
      <c r="E71" s="38">
        <v>0</v>
      </c>
      <c r="F71" s="39"/>
    </row>
    <row r="72" spans="3:6" s="25" customFormat="1" ht="30" customHeight="1">
      <c r="C72" s="291" t="s">
        <v>684</v>
      </c>
      <c r="D72" s="292"/>
      <c r="E72" s="38">
        <v>0</v>
      </c>
      <c r="F72" s="39"/>
    </row>
    <row r="73" spans="3:6" s="25" customFormat="1" ht="30" customHeight="1">
      <c r="C73" s="291" t="s">
        <v>685</v>
      </c>
      <c r="D73" s="292"/>
      <c r="E73" s="38">
        <v>0</v>
      </c>
      <c r="F73" s="39"/>
    </row>
    <row r="74" spans="3:6" s="25" customFormat="1" ht="30" customHeight="1" thickBot="1">
      <c r="C74" s="291" t="s">
        <v>686</v>
      </c>
      <c r="D74" s="292"/>
      <c r="E74" s="38">
        <v>0</v>
      </c>
      <c r="F74" s="39"/>
    </row>
    <row r="75" spans="3:6" s="32" customFormat="1" ht="47.25" customHeight="1" thickBot="1">
      <c r="C75" s="289" t="s">
        <v>307</v>
      </c>
      <c r="D75" s="290"/>
      <c r="E75" s="27">
        <f>SUM(E76:E82)</f>
        <v>0</v>
      </c>
      <c r="F75" s="31"/>
    </row>
    <row r="76" spans="3:6" s="25" customFormat="1" ht="30" customHeight="1">
      <c r="C76" s="297" t="s">
        <v>680</v>
      </c>
      <c r="D76" s="298"/>
      <c r="E76" s="44">
        <v>0</v>
      </c>
      <c r="F76" s="45"/>
    </row>
    <row r="77" spans="3:6" s="25" customFormat="1" ht="30" customHeight="1">
      <c r="C77" s="293" t="s">
        <v>681</v>
      </c>
      <c r="D77" s="294"/>
      <c r="E77" s="40">
        <v>0</v>
      </c>
      <c r="F77" s="41"/>
    </row>
    <row r="78" spans="3:6" s="25" customFormat="1" ht="30" customHeight="1">
      <c r="C78" s="293" t="s">
        <v>682</v>
      </c>
      <c r="D78" s="294"/>
      <c r="E78" s="40">
        <v>0</v>
      </c>
      <c r="F78" s="41"/>
    </row>
    <row r="79" spans="3:6" s="25" customFormat="1" ht="30" customHeight="1">
      <c r="C79" s="293" t="s">
        <v>683</v>
      </c>
      <c r="D79" s="294"/>
      <c r="E79" s="40">
        <v>0</v>
      </c>
      <c r="F79" s="41"/>
    </row>
    <row r="80" spans="3:6" s="25" customFormat="1" ht="30" customHeight="1">
      <c r="C80" s="293" t="s">
        <v>684</v>
      </c>
      <c r="D80" s="294"/>
      <c r="E80" s="40">
        <v>0</v>
      </c>
      <c r="F80" s="41"/>
    </row>
    <row r="81" spans="3:6" s="25" customFormat="1" ht="30" customHeight="1">
      <c r="C81" s="293" t="s">
        <v>685</v>
      </c>
      <c r="D81" s="294"/>
      <c r="E81" s="40">
        <v>0</v>
      </c>
      <c r="F81" s="41"/>
    </row>
    <row r="82" spans="3:6" s="25" customFormat="1" ht="30" customHeight="1" thickBot="1">
      <c r="C82" s="295" t="s">
        <v>686</v>
      </c>
      <c r="D82" s="296"/>
      <c r="E82" s="42">
        <v>0</v>
      </c>
      <c r="F82" s="43"/>
    </row>
  </sheetData>
  <mergeCells count="47">
    <mergeCell ref="C81:D81"/>
    <mergeCell ref="C82:D82"/>
    <mergeCell ref="C27:F27"/>
    <mergeCell ref="C46:F46"/>
    <mergeCell ref="C66:F66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7:D67"/>
    <mergeCell ref="C68:D68"/>
    <mergeCell ref="C69:D69"/>
    <mergeCell ref="C70:D70"/>
    <mergeCell ref="C52:D52"/>
    <mergeCell ref="C53:D53"/>
    <mergeCell ref="C54:D54"/>
    <mergeCell ref="C40:D40"/>
    <mergeCell ref="C41:D41"/>
    <mergeCell ref="C42:D42"/>
    <mergeCell ref="C43:D43"/>
    <mergeCell ref="C51:D51"/>
    <mergeCell ref="C44:D44"/>
    <mergeCell ref="C47:D47"/>
    <mergeCell ref="C48:D48"/>
    <mergeCell ref="C49:D49"/>
    <mergeCell ref="C50:D50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:F2"/>
    <mergeCell ref="C3:D3"/>
    <mergeCell ref="E3:F3"/>
    <mergeCell ref="C28:D28"/>
    <mergeCell ref="C29:D29"/>
  </mergeCells>
  <printOptions horizontalCentered="1"/>
  <pageMargins left="0.31496062992126" right="0.31496062992126" top="0.15748031496063" bottom="0" header="0.31496062992126" footer="0.31496062992126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4659260841701"/>
    <pageSetUpPr fitToPage="1"/>
  </sheetPr>
  <dimension ref="A1:W276"/>
  <sheetViews>
    <sheetView rightToLeft="1" tabSelected="1" zoomScale="85" zoomScaleNormal="85" zoomScaleSheetLayoutView="124" workbookViewId="0">
      <pane xSplit="4" ySplit="7" topLeftCell="I200" activePane="bottomRight" state="frozen"/>
      <selection pane="topRight" activeCell="E1" sqref="E1"/>
      <selection pane="bottomLeft" activeCell="A8" sqref="A8"/>
      <selection pane="bottomRight" activeCell="U271" sqref="U271"/>
    </sheetView>
  </sheetViews>
  <sheetFormatPr defaultColWidth="9" defaultRowHeight="12.75"/>
  <cols>
    <col min="1" max="1" width="15.42578125" style="21" customWidth="1"/>
    <col min="2" max="2" width="26.140625" style="23" bestFit="1" customWidth="1"/>
    <col min="3" max="3" width="55.7109375" style="21" bestFit="1" customWidth="1"/>
    <col min="4" max="4" width="10.28515625" style="15" bestFit="1" customWidth="1"/>
    <col min="5" max="6" width="10.140625" style="15" customWidth="1"/>
    <col min="7" max="7" width="12" style="15" bestFit="1" customWidth="1"/>
    <col min="8" max="8" width="9" style="15"/>
    <col min="9" max="9" width="12" style="15" bestFit="1" customWidth="1"/>
    <col min="10" max="10" width="9" style="15"/>
    <col min="11" max="11" width="12" style="15" bestFit="1" customWidth="1"/>
    <col min="12" max="12" width="12.42578125" style="15" bestFit="1" customWidth="1"/>
    <col min="13" max="13" width="12" style="15" bestFit="1" customWidth="1"/>
    <col min="14" max="20" width="9" style="15"/>
    <col min="21" max="21" width="12" style="15" bestFit="1" customWidth="1"/>
    <col min="22" max="16384" width="9" style="15"/>
  </cols>
  <sheetData>
    <row r="1" spans="1:22" s="53" customFormat="1" ht="15.75">
      <c r="A1" s="307" t="s">
        <v>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s="53" customFormat="1" ht="15.75">
      <c r="A2" s="307" t="s">
        <v>31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s="53" customFormat="1" ht="15.75">
      <c r="A3" s="307" t="s">
        <v>1261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s="53" customFormat="1" ht="16.5" thickBot="1">
      <c r="A4" s="306" t="s">
        <v>943</v>
      </c>
      <c r="B4" s="306"/>
      <c r="C4" s="306"/>
      <c r="D4" s="306"/>
      <c r="R4" s="314" t="s">
        <v>1</v>
      </c>
      <c r="S4" s="314"/>
      <c r="T4" s="314"/>
      <c r="U4" s="314"/>
      <c r="V4" s="314"/>
    </row>
    <row r="5" spans="1:22" ht="36" customHeight="1" thickBot="1">
      <c r="A5" s="246" t="s">
        <v>942</v>
      </c>
      <c r="B5" s="247"/>
      <c r="C5" s="248"/>
      <c r="D5" s="303" t="s">
        <v>946</v>
      </c>
      <c r="E5" s="299" t="s">
        <v>690</v>
      </c>
      <c r="F5" s="300"/>
      <c r="G5" s="299" t="s">
        <v>691</v>
      </c>
      <c r="H5" s="318"/>
      <c r="I5" s="318"/>
      <c r="J5" s="318"/>
      <c r="K5" s="318"/>
      <c r="L5" s="300"/>
      <c r="M5" s="308" t="s">
        <v>944</v>
      </c>
      <c r="N5" s="309"/>
      <c r="O5" s="309"/>
      <c r="P5" s="309"/>
      <c r="Q5" s="309"/>
      <c r="R5" s="309"/>
      <c r="S5" s="309"/>
      <c r="T5" s="310"/>
      <c r="U5" s="271" t="s">
        <v>20</v>
      </c>
      <c r="V5" s="274"/>
    </row>
    <row r="6" spans="1:22" ht="36" customHeight="1" thickBot="1">
      <c r="A6" s="249"/>
      <c r="B6" s="250"/>
      <c r="C6" s="251"/>
      <c r="D6" s="304"/>
      <c r="E6" s="234" t="s">
        <v>4</v>
      </c>
      <c r="F6" s="317"/>
      <c r="G6" s="234" t="s">
        <v>316</v>
      </c>
      <c r="H6" s="235"/>
      <c r="I6" s="235" t="s">
        <v>6</v>
      </c>
      <c r="J6" s="235"/>
      <c r="K6" s="235" t="s">
        <v>689</v>
      </c>
      <c r="L6" s="317"/>
      <c r="M6" s="301" t="s">
        <v>1345</v>
      </c>
      <c r="N6" s="319"/>
      <c r="O6" s="301" t="s">
        <v>1346</v>
      </c>
      <c r="P6" s="302"/>
      <c r="Q6" s="315" t="s">
        <v>1344</v>
      </c>
      <c r="R6" s="302"/>
      <c r="S6" s="301" t="s">
        <v>1357</v>
      </c>
      <c r="T6" s="302"/>
      <c r="U6" s="316"/>
      <c r="V6" s="230"/>
    </row>
    <row r="7" spans="1:22" s="16" customFormat="1" ht="39" customHeight="1" thickBot="1">
      <c r="A7" s="48" t="s">
        <v>34</v>
      </c>
      <c r="B7" s="49" t="s">
        <v>35</v>
      </c>
      <c r="C7" s="50" t="s">
        <v>36</v>
      </c>
      <c r="D7" s="305"/>
      <c r="E7" s="67" t="s">
        <v>687</v>
      </c>
      <c r="F7" s="68" t="s">
        <v>688</v>
      </c>
      <c r="G7" s="67" t="s">
        <v>687</v>
      </c>
      <c r="H7" s="69" t="s">
        <v>688</v>
      </c>
      <c r="I7" s="69" t="s">
        <v>687</v>
      </c>
      <c r="J7" s="69" t="s">
        <v>688</v>
      </c>
      <c r="K7" s="69" t="s">
        <v>687</v>
      </c>
      <c r="L7" s="68" t="s">
        <v>688</v>
      </c>
      <c r="M7" s="82" t="s">
        <v>687</v>
      </c>
      <c r="N7" s="195" t="s">
        <v>688</v>
      </c>
      <c r="O7" s="67" t="s">
        <v>687</v>
      </c>
      <c r="P7" s="68" t="s">
        <v>688</v>
      </c>
      <c r="Q7" s="196" t="s">
        <v>687</v>
      </c>
      <c r="R7" s="83" t="s">
        <v>688</v>
      </c>
      <c r="S7" s="82" t="s">
        <v>687</v>
      </c>
      <c r="T7" s="83" t="s">
        <v>688</v>
      </c>
      <c r="U7" s="67" t="s">
        <v>687</v>
      </c>
      <c r="V7" s="68" t="s">
        <v>688</v>
      </c>
    </row>
    <row r="8" spans="1:22" s="156" customFormat="1" ht="15.75" customHeight="1">
      <c r="A8" s="204" t="s">
        <v>22</v>
      </c>
      <c r="B8" s="205" t="s">
        <v>37</v>
      </c>
      <c r="C8" s="204" t="s">
        <v>38</v>
      </c>
      <c r="D8" s="206" t="s">
        <v>693</v>
      </c>
      <c r="E8" s="216">
        <f>9291+2372</f>
        <v>11663</v>
      </c>
      <c r="F8" s="217"/>
      <c r="G8" s="216">
        <f>7665+1661</f>
        <v>9326</v>
      </c>
      <c r="H8" s="218"/>
      <c r="I8" s="218">
        <f>7300+1582</f>
        <v>8882</v>
      </c>
      <c r="J8" s="218"/>
      <c r="K8" s="218">
        <f>10951+2373</f>
        <v>13324</v>
      </c>
      <c r="L8" s="217"/>
      <c r="M8" s="216">
        <f>9757+2114</f>
        <v>11871</v>
      </c>
      <c r="N8" s="217"/>
      <c r="O8" s="216">
        <f>1355+294</f>
        <v>1649</v>
      </c>
      <c r="P8" s="217"/>
      <c r="Q8" s="216">
        <f>2891+627</f>
        <v>3518</v>
      </c>
      <c r="R8" s="217"/>
      <c r="S8" s="216">
        <f>271+59</f>
        <v>330</v>
      </c>
      <c r="T8" s="217"/>
      <c r="U8" s="152">
        <f>M8+O8+Q8+S8</f>
        <v>17368</v>
      </c>
      <c r="V8" s="219">
        <f>N8+P8+R8+T8</f>
        <v>0</v>
      </c>
    </row>
    <row r="9" spans="1:22" s="156" customFormat="1" ht="15.75" customHeight="1">
      <c r="A9" s="201" t="s">
        <v>22</v>
      </c>
      <c r="B9" s="202" t="s">
        <v>37</v>
      </c>
      <c r="C9" s="201" t="s">
        <v>39</v>
      </c>
      <c r="D9" s="203" t="s">
        <v>694</v>
      </c>
      <c r="E9" s="153">
        <f>74440/13*12*0.8333</f>
        <v>57259.248000000007</v>
      </c>
      <c r="F9" s="154"/>
      <c r="G9" s="153">
        <v>78889</v>
      </c>
      <c r="H9" s="155"/>
      <c r="I9" s="155">
        <v>45967</v>
      </c>
      <c r="J9" s="155"/>
      <c r="K9" s="155">
        <v>68951</v>
      </c>
      <c r="L9" s="154"/>
      <c r="M9" s="153">
        <v>54633</v>
      </c>
      <c r="N9" s="154"/>
      <c r="O9" s="153">
        <v>7766</v>
      </c>
      <c r="P9" s="154"/>
      <c r="Q9" s="153">
        <v>16182</v>
      </c>
      <c r="R9" s="154"/>
      <c r="S9" s="153">
        <v>1160</v>
      </c>
      <c r="T9" s="154"/>
      <c r="U9" s="152">
        <f t="shared" ref="U9:U72" si="0">M9+O9+Q9+S9</f>
        <v>79741</v>
      </c>
      <c r="V9" s="219">
        <f t="shared" ref="V9:V72" si="1">N9+P9+R9+T9</f>
        <v>0</v>
      </c>
    </row>
    <row r="10" spans="1:22" s="156" customFormat="1" ht="15.75" customHeight="1">
      <c r="A10" s="201" t="s">
        <v>22</v>
      </c>
      <c r="B10" s="202" t="s">
        <v>37</v>
      </c>
      <c r="C10" s="201" t="s">
        <v>40</v>
      </c>
      <c r="D10" s="203" t="s">
        <v>695</v>
      </c>
      <c r="E10" s="153"/>
      <c r="F10" s="154"/>
      <c r="G10" s="153"/>
      <c r="H10" s="155"/>
      <c r="I10" s="155"/>
      <c r="J10" s="155"/>
      <c r="K10" s="155"/>
      <c r="L10" s="154"/>
      <c r="M10" s="153"/>
      <c r="N10" s="154"/>
      <c r="O10" s="153"/>
      <c r="P10" s="154"/>
      <c r="Q10" s="153"/>
      <c r="R10" s="154"/>
      <c r="S10" s="153"/>
      <c r="T10" s="154"/>
      <c r="U10" s="152">
        <f t="shared" si="0"/>
        <v>0</v>
      </c>
      <c r="V10" s="219">
        <f t="shared" si="1"/>
        <v>0</v>
      </c>
    </row>
    <row r="11" spans="1:22" s="156" customFormat="1" ht="15.75" customHeight="1">
      <c r="A11" s="201" t="s">
        <v>22</v>
      </c>
      <c r="B11" s="202" t="s">
        <v>37</v>
      </c>
      <c r="C11" s="201" t="s">
        <v>41</v>
      </c>
      <c r="D11" s="203" t="s">
        <v>696</v>
      </c>
      <c r="E11" s="153">
        <v>59</v>
      </c>
      <c r="F11" s="154"/>
      <c r="G11" s="153">
        <v>60</v>
      </c>
      <c r="H11" s="155"/>
      <c r="I11" s="155">
        <v>37</v>
      </c>
      <c r="J11" s="155"/>
      <c r="K11" s="155">
        <v>56</v>
      </c>
      <c r="L11" s="154"/>
      <c r="M11" s="153">
        <f>70*0.8</f>
        <v>56</v>
      </c>
      <c r="N11" s="154"/>
      <c r="O11" s="153">
        <f>70*0.1</f>
        <v>7</v>
      </c>
      <c r="P11" s="154"/>
      <c r="Q11" s="153">
        <f>70*0.05</f>
        <v>3.5</v>
      </c>
      <c r="R11" s="154"/>
      <c r="S11" s="153">
        <f>70*0.05</f>
        <v>3.5</v>
      </c>
      <c r="T11" s="154"/>
      <c r="U11" s="152">
        <f t="shared" si="0"/>
        <v>70</v>
      </c>
      <c r="V11" s="219">
        <f t="shared" si="1"/>
        <v>0</v>
      </c>
    </row>
    <row r="12" spans="1:22" s="156" customFormat="1" ht="15.75" customHeight="1">
      <c r="A12" s="201" t="s">
        <v>22</v>
      </c>
      <c r="B12" s="202" t="s">
        <v>37</v>
      </c>
      <c r="C12" s="201" t="s">
        <v>42</v>
      </c>
      <c r="D12" s="203" t="s">
        <v>697</v>
      </c>
      <c r="E12" s="153"/>
      <c r="F12" s="154"/>
      <c r="G12" s="153"/>
      <c r="H12" s="155"/>
      <c r="I12" s="155"/>
      <c r="J12" s="155"/>
      <c r="K12" s="155"/>
      <c r="L12" s="154"/>
      <c r="M12" s="153"/>
      <c r="N12" s="154"/>
      <c r="O12" s="153"/>
      <c r="P12" s="154"/>
      <c r="Q12" s="153"/>
      <c r="R12" s="154"/>
      <c r="S12" s="153"/>
      <c r="T12" s="154"/>
      <c r="U12" s="152">
        <f t="shared" si="0"/>
        <v>0</v>
      </c>
      <c r="V12" s="219">
        <f t="shared" si="1"/>
        <v>0</v>
      </c>
    </row>
    <row r="13" spans="1:22" s="156" customFormat="1" ht="15.75" customHeight="1">
      <c r="A13" s="201" t="s">
        <v>22</v>
      </c>
      <c r="B13" s="202" t="s">
        <v>37</v>
      </c>
      <c r="C13" s="201" t="s">
        <v>43</v>
      </c>
      <c r="D13" s="203" t="s">
        <v>698</v>
      </c>
      <c r="E13" s="153">
        <v>50</v>
      </c>
      <c r="F13" s="154"/>
      <c r="G13" s="153">
        <v>250</v>
      </c>
      <c r="H13" s="155"/>
      <c r="I13" s="155">
        <v>165</v>
      </c>
      <c r="J13" s="155"/>
      <c r="K13" s="155">
        <v>248</v>
      </c>
      <c r="L13" s="154"/>
      <c r="M13" s="153">
        <f>285*0.8</f>
        <v>228</v>
      </c>
      <c r="N13" s="154"/>
      <c r="O13" s="153">
        <f>285*0.1</f>
        <v>28.5</v>
      </c>
      <c r="P13" s="154"/>
      <c r="Q13" s="153">
        <f>285*0.05</f>
        <v>14.25</v>
      </c>
      <c r="R13" s="154"/>
      <c r="S13" s="153">
        <f>285*0.05</f>
        <v>14.25</v>
      </c>
      <c r="T13" s="154"/>
      <c r="U13" s="152">
        <f t="shared" si="0"/>
        <v>285</v>
      </c>
      <c r="V13" s="219">
        <f t="shared" si="1"/>
        <v>0</v>
      </c>
    </row>
    <row r="14" spans="1:22" s="156" customFormat="1" ht="15.75" customHeight="1">
      <c r="A14" s="201" t="s">
        <v>22</v>
      </c>
      <c r="B14" s="202" t="s">
        <v>37</v>
      </c>
      <c r="C14" s="201" t="s">
        <v>44</v>
      </c>
      <c r="D14" s="203" t="s">
        <v>699</v>
      </c>
      <c r="E14" s="153"/>
      <c r="F14" s="154"/>
      <c r="G14" s="153"/>
      <c r="H14" s="155"/>
      <c r="I14" s="155"/>
      <c r="J14" s="155"/>
      <c r="K14" s="155"/>
      <c r="L14" s="154"/>
      <c r="M14" s="153"/>
      <c r="N14" s="154"/>
      <c r="O14" s="153"/>
      <c r="P14" s="154"/>
      <c r="Q14" s="153"/>
      <c r="R14" s="154"/>
      <c r="S14" s="153"/>
      <c r="T14" s="154"/>
      <c r="U14" s="152">
        <f t="shared" si="0"/>
        <v>0</v>
      </c>
      <c r="V14" s="219">
        <f t="shared" si="1"/>
        <v>0</v>
      </c>
    </row>
    <row r="15" spans="1:22" s="156" customFormat="1" ht="15.75" customHeight="1">
      <c r="A15" s="201" t="s">
        <v>22</v>
      </c>
      <c r="B15" s="202" t="s">
        <v>37</v>
      </c>
      <c r="C15" s="201" t="s">
        <v>45</v>
      </c>
      <c r="D15" s="203" t="s">
        <v>700</v>
      </c>
      <c r="E15" s="153"/>
      <c r="F15" s="154"/>
      <c r="G15" s="153"/>
      <c r="H15" s="155"/>
      <c r="I15" s="155"/>
      <c r="J15" s="155"/>
      <c r="K15" s="155"/>
      <c r="L15" s="154"/>
      <c r="M15" s="153"/>
      <c r="N15" s="154"/>
      <c r="O15" s="153"/>
      <c r="P15" s="154"/>
      <c r="Q15" s="153"/>
      <c r="R15" s="154"/>
      <c r="S15" s="153"/>
      <c r="T15" s="154"/>
      <c r="U15" s="152">
        <f t="shared" si="0"/>
        <v>0</v>
      </c>
      <c r="V15" s="219">
        <f t="shared" si="1"/>
        <v>0</v>
      </c>
    </row>
    <row r="16" spans="1:22" s="156" customFormat="1" ht="15.75" customHeight="1">
      <c r="A16" s="201" t="s">
        <v>22</v>
      </c>
      <c r="B16" s="202" t="s">
        <v>46</v>
      </c>
      <c r="C16" s="201" t="s">
        <v>47</v>
      </c>
      <c r="D16" s="203" t="s">
        <v>701</v>
      </c>
      <c r="E16" s="153">
        <v>1683</v>
      </c>
      <c r="F16" s="154"/>
      <c r="G16" s="153">
        <v>961</v>
      </c>
      <c r="H16" s="155"/>
      <c r="I16" s="155">
        <v>915</v>
      </c>
      <c r="J16" s="155"/>
      <c r="K16" s="155">
        <v>1373</v>
      </c>
      <c r="L16" s="154"/>
      <c r="M16" s="153">
        <v>1223</v>
      </c>
      <c r="N16" s="154"/>
      <c r="O16" s="153">
        <v>170</v>
      </c>
      <c r="P16" s="154"/>
      <c r="Q16" s="153">
        <v>362</v>
      </c>
      <c r="R16" s="154"/>
      <c r="S16" s="153">
        <v>34</v>
      </c>
      <c r="T16" s="154"/>
      <c r="U16" s="152">
        <f t="shared" si="0"/>
        <v>1789</v>
      </c>
      <c r="V16" s="219">
        <f t="shared" si="1"/>
        <v>0</v>
      </c>
    </row>
    <row r="17" spans="1:22" s="156" customFormat="1" ht="15.75" customHeight="1">
      <c r="A17" s="201" t="s">
        <v>22</v>
      </c>
      <c r="B17" s="202" t="s">
        <v>46</v>
      </c>
      <c r="C17" s="201" t="s">
        <v>48</v>
      </c>
      <c r="D17" s="203" t="s">
        <v>702</v>
      </c>
      <c r="E17" s="153">
        <v>2107</v>
      </c>
      <c r="F17" s="154"/>
      <c r="G17" s="153">
        <v>1272</v>
      </c>
      <c r="H17" s="155"/>
      <c r="I17" s="155">
        <v>1211</v>
      </c>
      <c r="J17" s="155"/>
      <c r="K17" s="155">
        <v>1817</v>
      </c>
      <c r="L17" s="154"/>
      <c r="M17" s="153">
        <v>1619</v>
      </c>
      <c r="N17" s="154"/>
      <c r="O17" s="153">
        <v>225</v>
      </c>
      <c r="P17" s="154"/>
      <c r="Q17" s="153">
        <v>480</v>
      </c>
      <c r="R17" s="154"/>
      <c r="S17" s="153">
        <v>45</v>
      </c>
      <c r="T17" s="154"/>
      <c r="U17" s="152">
        <f t="shared" si="0"/>
        <v>2369</v>
      </c>
      <c r="V17" s="219">
        <f t="shared" si="1"/>
        <v>0</v>
      </c>
    </row>
    <row r="18" spans="1:22" s="156" customFormat="1" ht="15.75" customHeight="1">
      <c r="A18" s="201" t="s">
        <v>22</v>
      </c>
      <c r="B18" s="202" t="s">
        <v>46</v>
      </c>
      <c r="C18" s="201" t="s">
        <v>49</v>
      </c>
      <c r="D18" s="203" t="s">
        <v>703</v>
      </c>
      <c r="E18" s="153">
        <v>1527</v>
      </c>
      <c r="F18" s="154"/>
      <c r="G18" s="153">
        <v>980</v>
      </c>
      <c r="H18" s="155"/>
      <c r="I18" s="155">
        <v>933</v>
      </c>
      <c r="J18" s="155"/>
      <c r="K18" s="155">
        <v>1400</v>
      </c>
      <c r="L18" s="154"/>
      <c r="M18" s="153">
        <v>1247</v>
      </c>
      <c r="N18" s="154"/>
      <c r="O18" s="153">
        <v>173</v>
      </c>
      <c r="P18" s="154"/>
      <c r="Q18" s="153">
        <v>369</v>
      </c>
      <c r="R18" s="154"/>
      <c r="S18" s="153">
        <v>35</v>
      </c>
      <c r="T18" s="154"/>
      <c r="U18" s="152">
        <f t="shared" si="0"/>
        <v>1824</v>
      </c>
      <c r="V18" s="219">
        <f t="shared" si="1"/>
        <v>0</v>
      </c>
    </row>
    <row r="19" spans="1:22" s="156" customFormat="1" ht="15.75" customHeight="1">
      <c r="A19" s="201" t="s">
        <v>22</v>
      </c>
      <c r="B19" s="202" t="s">
        <v>46</v>
      </c>
      <c r="C19" s="201" t="s">
        <v>50</v>
      </c>
      <c r="D19" s="203" t="s">
        <v>704</v>
      </c>
      <c r="E19" s="153">
        <v>1206</v>
      </c>
      <c r="F19" s="154"/>
      <c r="G19" s="153">
        <v>775</v>
      </c>
      <c r="H19" s="155"/>
      <c r="I19" s="155">
        <v>738</v>
      </c>
      <c r="J19" s="155"/>
      <c r="K19" s="155">
        <v>1107</v>
      </c>
      <c r="L19" s="154"/>
      <c r="M19" s="153">
        <v>986</v>
      </c>
      <c r="N19" s="154"/>
      <c r="O19" s="153">
        <v>137</v>
      </c>
      <c r="P19" s="154"/>
      <c r="Q19" s="153">
        <v>292</v>
      </c>
      <c r="R19" s="154"/>
      <c r="S19" s="153">
        <v>27</v>
      </c>
      <c r="T19" s="154"/>
      <c r="U19" s="152">
        <f t="shared" si="0"/>
        <v>1442</v>
      </c>
      <c r="V19" s="219">
        <f t="shared" si="1"/>
        <v>0</v>
      </c>
    </row>
    <row r="20" spans="1:22" s="156" customFormat="1" ht="15.75" customHeight="1">
      <c r="A20" s="201" t="s">
        <v>22</v>
      </c>
      <c r="B20" s="202" t="s">
        <v>46</v>
      </c>
      <c r="C20" s="201" t="s">
        <v>51</v>
      </c>
      <c r="D20" s="203" t="s">
        <v>705</v>
      </c>
      <c r="E20" s="153">
        <v>4546</v>
      </c>
      <c r="F20" s="154"/>
      <c r="G20" s="153">
        <v>2117</v>
      </c>
      <c r="H20" s="155"/>
      <c r="I20" s="155">
        <v>2016</v>
      </c>
      <c r="J20" s="155"/>
      <c r="K20" s="155">
        <v>3024</v>
      </c>
      <c r="L20" s="154"/>
      <c r="M20" s="153">
        <v>2695</v>
      </c>
      <c r="N20" s="154"/>
      <c r="O20" s="153">
        <v>374</v>
      </c>
      <c r="P20" s="154"/>
      <c r="Q20" s="153">
        <v>798</v>
      </c>
      <c r="R20" s="154"/>
      <c r="S20" s="153">
        <v>75</v>
      </c>
      <c r="T20" s="154"/>
      <c r="U20" s="152">
        <f t="shared" si="0"/>
        <v>3942</v>
      </c>
      <c r="V20" s="219">
        <f t="shared" si="1"/>
        <v>0</v>
      </c>
    </row>
    <row r="21" spans="1:22" s="156" customFormat="1" ht="15.75" customHeight="1">
      <c r="A21" s="201" t="s">
        <v>22</v>
      </c>
      <c r="B21" s="202" t="s">
        <v>46</v>
      </c>
      <c r="C21" s="201" t="s">
        <v>52</v>
      </c>
      <c r="D21" s="203" t="s">
        <v>706</v>
      </c>
      <c r="E21" s="153">
        <v>255</v>
      </c>
      <c r="F21" s="154"/>
      <c r="G21" s="153">
        <v>148</v>
      </c>
      <c r="H21" s="155"/>
      <c r="I21" s="155">
        <v>141</v>
      </c>
      <c r="J21" s="155"/>
      <c r="K21" s="155">
        <v>212</v>
      </c>
      <c r="L21" s="154"/>
      <c r="M21" s="153">
        <v>188</v>
      </c>
      <c r="N21" s="154"/>
      <c r="O21" s="153">
        <v>26</v>
      </c>
      <c r="P21" s="154"/>
      <c r="Q21" s="153">
        <v>56</v>
      </c>
      <c r="R21" s="154"/>
      <c r="S21" s="153">
        <v>5</v>
      </c>
      <c r="T21" s="154"/>
      <c r="U21" s="152">
        <f t="shared" si="0"/>
        <v>275</v>
      </c>
      <c r="V21" s="219">
        <f t="shared" si="1"/>
        <v>0</v>
      </c>
    </row>
    <row r="22" spans="1:22" s="156" customFormat="1" ht="15.75" customHeight="1">
      <c r="A22" s="201" t="s">
        <v>22</v>
      </c>
      <c r="B22" s="202" t="s">
        <v>46</v>
      </c>
      <c r="C22" s="201" t="s">
        <v>53</v>
      </c>
      <c r="D22" s="203" t="s">
        <v>707</v>
      </c>
      <c r="E22" s="153">
        <v>838</v>
      </c>
      <c r="F22" s="154"/>
      <c r="G22" s="153">
        <v>590</v>
      </c>
      <c r="H22" s="155"/>
      <c r="I22" s="155">
        <v>562</v>
      </c>
      <c r="J22" s="155"/>
      <c r="K22" s="155">
        <v>843</v>
      </c>
      <c r="L22" s="154"/>
      <c r="M22" s="153">
        <v>751</v>
      </c>
      <c r="N22" s="154"/>
      <c r="O22" s="153">
        <v>104</v>
      </c>
      <c r="P22" s="154"/>
      <c r="Q22" s="153">
        <v>223</v>
      </c>
      <c r="R22" s="154"/>
      <c r="S22" s="153">
        <v>21</v>
      </c>
      <c r="T22" s="154"/>
      <c r="U22" s="152">
        <f t="shared" si="0"/>
        <v>1099</v>
      </c>
      <c r="V22" s="219">
        <f t="shared" si="1"/>
        <v>0</v>
      </c>
    </row>
    <row r="23" spans="1:22" s="156" customFormat="1" ht="15.75" customHeight="1">
      <c r="A23" s="201" t="s">
        <v>22</v>
      </c>
      <c r="B23" s="202" t="s">
        <v>46</v>
      </c>
      <c r="C23" s="201" t="s">
        <v>54</v>
      </c>
      <c r="D23" s="203" t="s">
        <v>708</v>
      </c>
      <c r="E23" s="153">
        <v>74</v>
      </c>
      <c r="F23" s="154"/>
      <c r="G23" s="153">
        <v>90</v>
      </c>
      <c r="H23" s="155"/>
      <c r="I23" s="155">
        <v>86</v>
      </c>
      <c r="J23" s="155"/>
      <c r="K23" s="155">
        <v>129</v>
      </c>
      <c r="L23" s="154"/>
      <c r="M23" s="153">
        <v>115</v>
      </c>
      <c r="N23" s="154"/>
      <c r="O23" s="153">
        <v>16</v>
      </c>
      <c r="P23" s="154"/>
      <c r="Q23" s="153">
        <v>34</v>
      </c>
      <c r="R23" s="154"/>
      <c r="S23" s="153">
        <v>3</v>
      </c>
      <c r="T23" s="154"/>
      <c r="U23" s="152">
        <f t="shared" si="0"/>
        <v>168</v>
      </c>
      <c r="V23" s="219">
        <f t="shared" si="1"/>
        <v>0</v>
      </c>
    </row>
    <row r="24" spans="1:22" s="156" customFormat="1" ht="15.75" customHeight="1">
      <c r="A24" s="201" t="s">
        <v>22</v>
      </c>
      <c r="B24" s="202" t="s">
        <v>46</v>
      </c>
      <c r="C24" s="201" t="s">
        <v>55</v>
      </c>
      <c r="D24" s="203" t="s">
        <v>709</v>
      </c>
      <c r="E24" s="153">
        <v>1045</v>
      </c>
      <c r="F24" s="154"/>
      <c r="G24" s="153">
        <v>816</v>
      </c>
      <c r="H24" s="155"/>
      <c r="I24" s="155">
        <v>777</v>
      </c>
      <c r="J24" s="155"/>
      <c r="K24" s="155">
        <v>1166</v>
      </c>
      <c r="L24" s="154"/>
      <c r="M24" s="153">
        <v>1039</v>
      </c>
      <c r="N24" s="154"/>
      <c r="O24" s="153">
        <v>144</v>
      </c>
      <c r="P24" s="154"/>
      <c r="Q24" s="153">
        <v>308</v>
      </c>
      <c r="R24" s="154"/>
      <c r="S24" s="153">
        <v>29</v>
      </c>
      <c r="T24" s="154"/>
      <c r="U24" s="152">
        <f t="shared" si="0"/>
        <v>1520</v>
      </c>
      <c r="V24" s="219">
        <f t="shared" si="1"/>
        <v>0</v>
      </c>
    </row>
    <row r="25" spans="1:22" s="156" customFormat="1" ht="15.75" customHeight="1">
      <c r="A25" s="201" t="s">
        <v>22</v>
      </c>
      <c r="B25" s="202" t="s">
        <v>46</v>
      </c>
      <c r="C25" s="201" t="s">
        <v>56</v>
      </c>
      <c r="D25" s="203" t="s">
        <v>710</v>
      </c>
      <c r="E25" s="153">
        <v>13</v>
      </c>
      <c r="F25" s="154"/>
      <c r="G25" s="153">
        <v>10</v>
      </c>
      <c r="H25" s="155"/>
      <c r="I25" s="155">
        <v>10</v>
      </c>
      <c r="J25" s="155"/>
      <c r="K25" s="155">
        <v>15</v>
      </c>
      <c r="L25" s="154"/>
      <c r="M25" s="153">
        <v>13</v>
      </c>
      <c r="N25" s="154"/>
      <c r="O25" s="153">
        <v>7</v>
      </c>
      <c r="P25" s="154"/>
      <c r="Q25" s="153">
        <v>0</v>
      </c>
      <c r="R25" s="154"/>
      <c r="S25" s="153">
        <v>0</v>
      </c>
      <c r="T25" s="154"/>
      <c r="U25" s="152">
        <f t="shared" si="0"/>
        <v>20</v>
      </c>
      <c r="V25" s="219">
        <f t="shared" si="1"/>
        <v>0</v>
      </c>
    </row>
    <row r="26" spans="1:22" s="156" customFormat="1" ht="15.75" customHeight="1">
      <c r="A26" s="201" t="s">
        <v>22</v>
      </c>
      <c r="B26" s="202" t="s">
        <v>46</v>
      </c>
      <c r="C26" s="201" t="s">
        <v>57</v>
      </c>
      <c r="D26" s="203" t="s">
        <v>711</v>
      </c>
      <c r="E26" s="153">
        <f>1936+(74440/13)</f>
        <v>7662.1538461538457</v>
      </c>
      <c r="F26" s="154"/>
      <c r="G26" s="153">
        <v>11143</v>
      </c>
      <c r="H26" s="155"/>
      <c r="I26" s="155">
        <v>0</v>
      </c>
      <c r="J26" s="155"/>
      <c r="K26" s="155">
        <v>10514</v>
      </c>
      <c r="L26" s="154"/>
      <c r="M26" s="153">
        <v>7703</v>
      </c>
      <c r="N26" s="154"/>
      <c r="O26" s="153">
        <v>1816</v>
      </c>
      <c r="P26" s="154"/>
      <c r="Q26" s="153">
        <v>2675</v>
      </c>
      <c r="R26" s="154"/>
      <c r="S26" s="153">
        <v>214</v>
      </c>
      <c r="T26" s="154"/>
      <c r="U26" s="152">
        <f t="shared" si="0"/>
        <v>12408</v>
      </c>
      <c r="V26" s="219">
        <f t="shared" si="1"/>
        <v>0</v>
      </c>
    </row>
    <row r="27" spans="1:22" s="156" customFormat="1" ht="15.75" customHeight="1">
      <c r="A27" s="201" t="s">
        <v>22</v>
      </c>
      <c r="B27" s="202" t="s">
        <v>46</v>
      </c>
      <c r="C27" s="201" t="s">
        <v>58</v>
      </c>
      <c r="D27" s="203" t="s">
        <v>712</v>
      </c>
      <c r="E27" s="153">
        <f>1012+528+625</f>
        <v>2165</v>
      </c>
      <c r="F27" s="154"/>
      <c r="G27" s="153">
        <f>1297+727</f>
        <v>2024</v>
      </c>
      <c r="H27" s="155"/>
      <c r="I27" s="155">
        <f>1235+692</f>
        <v>1927</v>
      </c>
      <c r="J27" s="155"/>
      <c r="K27" s="155">
        <f>1853+1038</f>
        <v>2891</v>
      </c>
      <c r="L27" s="154"/>
      <c r="M27" s="153">
        <f>1651+925</f>
        <v>2576</v>
      </c>
      <c r="N27" s="154"/>
      <c r="O27" s="153">
        <f>229+128</f>
        <v>357</v>
      </c>
      <c r="P27" s="154"/>
      <c r="Q27" s="153">
        <f>489+274</f>
        <v>763</v>
      </c>
      <c r="R27" s="154"/>
      <c r="S27" s="153">
        <f>46+26</f>
        <v>72</v>
      </c>
      <c r="T27" s="154"/>
      <c r="U27" s="152">
        <f t="shared" si="0"/>
        <v>3768</v>
      </c>
      <c r="V27" s="219">
        <f t="shared" si="1"/>
        <v>0</v>
      </c>
    </row>
    <row r="28" spans="1:22" s="156" customFormat="1" ht="15.75" customHeight="1">
      <c r="A28" s="201" t="s">
        <v>22</v>
      </c>
      <c r="B28" s="202" t="s">
        <v>46</v>
      </c>
      <c r="C28" s="201" t="s">
        <v>59</v>
      </c>
      <c r="D28" s="203" t="s">
        <v>713</v>
      </c>
      <c r="E28" s="153">
        <v>1123</v>
      </c>
      <c r="F28" s="154"/>
      <c r="G28" s="153">
        <v>553</v>
      </c>
      <c r="H28" s="155"/>
      <c r="I28" s="155">
        <v>527</v>
      </c>
      <c r="J28" s="155"/>
      <c r="K28" s="155">
        <v>791</v>
      </c>
      <c r="L28" s="154"/>
      <c r="M28" s="153">
        <v>704</v>
      </c>
      <c r="N28" s="154"/>
      <c r="O28" s="153">
        <v>98</v>
      </c>
      <c r="P28" s="154"/>
      <c r="Q28" s="153">
        <v>209</v>
      </c>
      <c r="R28" s="154"/>
      <c r="S28" s="153">
        <v>20</v>
      </c>
      <c r="T28" s="154"/>
      <c r="U28" s="152">
        <f t="shared" si="0"/>
        <v>1031</v>
      </c>
      <c r="V28" s="219">
        <f t="shared" si="1"/>
        <v>0</v>
      </c>
    </row>
    <row r="29" spans="1:22" s="156" customFormat="1" ht="15.75" customHeight="1">
      <c r="A29" s="201" t="s">
        <v>22</v>
      </c>
      <c r="B29" s="202" t="s">
        <v>46</v>
      </c>
      <c r="C29" s="201" t="s">
        <v>60</v>
      </c>
      <c r="D29" s="203" t="s">
        <v>714</v>
      </c>
      <c r="E29" s="153"/>
      <c r="F29" s="154"/>
      <c r="G29" s="153"/>
      <c r="H29" s="155"/>
      <c r="I29" s="155"/>
      <c r="J29" s="155"/>
      <c r="K29" s="155"/>
      <c r="L29" s="154"/>
      <c r="M29" s="153"/>
      <c r="N29" s="154"/>
      <c r="O29" s="153"/>
      <c r="P29" s="154"/>
      <c r="Q29" s="153"/>
      <c r="R29" s="154"/>
      <c r="S29" s="153"/>
      <c r="T29" s="154"/>
      <c r="U29" s="152">
        <f t="shared" si="0"/>
        <v>0</v>
      </c>
      <c r="V29" s="219">
        <f t="shared" si="1"/>
        <v>0</v>
      </c>
    </row>
    <row r="30" spans="1:22" s="156" customFormat="1" ht="15.75" customHeight="1">
      <c r="A30" s="201" t="s">
        <v>22</v>
      </c>
      <c r="B30" s="202" t="s">
        <v>46</v>
      </c>
      <c r="C30" s="201" t="s">
        <v>61</v>
      </c>
      <c r="D30" s="203" t="s">
        <v>715</v>
      </c>
      <c r="E30" s="153"/>
      <c r="F30" s="154"/>
      <c r="G30" s="153"/>
      <c r="H30" s="155"/>
      <c r="I30" s="155"/>
      <c r="J30" s="155"/>
      <c r="K30" s="155"/>
      <c r="L30" s="154"/>
      <c r="M30" s="153"/>
      <c r="N30" s="154"/>
      <c r="O30" s="153"/>
      <c r="P30" s="154"/>
      <c r="Q30" s="153"/>
      <c r="R30" s="154"/>
      <c r="S30" s="153"/>
      <c r="T30" s="154"/>
      <c r="U30" s="152">
        <f t="shared" si="0"/>
        <v>0</v>
      </c>
      <c r="V30" s="219">
        <f t="shared" si="1"/>
        <v>0</v>
      </c>
    </row>
    <row r="31" spans="1:22" s="156" customFormat="1" ht="15.75" customHeight="1">
      <c r="A31" s="201" t="s">
        <v>22</v>
      </c>
      <c r="B31" s="202" t="s">
        <v>46</v>
      </c>
      <c r="C31" s="201" t="s">
        <v>62</v>
      </c>
      <c r="D31" s="203" t="s">
        <v>716</v>
      </c>
      <c r="E31" s="153">
        <v>487</v>
      </c>
      <c r="F31" s="154"/>
      <c r="G31" s="153">
        <v>273</v>
      </c>
      <c r="H31" s="155"/>
      <c r="I31" s="155">
        <v>260</v>
      </c>
      <c r="J31" s="155"/>
      <c r="K31" s="155">
        <v>390</v>
      </c>
      <c r="L31" s="154"/>
      <c r="M31" s="153">
        <v>348</v>
      </c>
      <c r="N31" s="154"/>
      <c r="O31" s="153">
        <v>48</v>
      </c>
      <c r="P31" s="154"/>
      <c r="Q31" s="153">
        <v>103</v>
      </c>
      <c r="R31" s="154"/>
      <c r="S31" s="153">
        <v>10</v>
      </c>
      <c r="T31" s="154"/>
      <c r="U31" s="152">
        <f t="shared" si="0"/>
        <v>509</v>
      </c>
      <c r="V31" s="219">
        <f t="shared" si="1"/>
        <v>0</v>
      </c>
    </row>
    <row r="32" spans="1:22" s="156" customFormat="1" ht="15.75" customHeight="1">
      <c r="A32" s="201" t="s">
        <v>22</v>
      </c>
      <c r="B32" s="202" t="s">
        <v>46</v>
      </c>
      <c r="C32" s="201" t="s">
        <v>63</v>
      </c>
      <c r="D32" s="203" t="s">
        <v>717</v>
      </c>
      <c r="E32" s="153"/>
      <c r="F32" s="154"/>
      <c r="G32" s="153"/>
      <c r="H32" s="155"/>
      <c r="I32" s="155"/>
      <c r="J32" s="155"/>
      <c r="K32" s="155"/>
      <c r="L32" s="154"/>
      <c r="M32" s="153"/>
      <c r="N32" s="154"/>
      <c r="O32" s="153"/>
      <c r="P32" s="154"/>
      <c r="Q32" s="153"/>
      <c r="R32" s="154"/>
      <c r="S32" s="153"/>
      <c r="T32" s="154"/>
      <c r="U32" s="152">
        <f t="shared" si="0"/>
        <v>0</v>
      </c>
      <c r="V32" s="219">
        <f t="shared" si="1"/>
        <v>0</v>
      </c>
    </row>
    <row r="33" spans="1:23" s="156" customFormat="1" ht="15.75" customHeight="1">
      <c r="A33" s="201" t="s">
        <v>22</v>
      </c>
      <c r="B33" s="202" t="s">
        <v>46</v>
      </c>
      <c r="C33" s="201" t="s">
        <v>64</v>
      </c>
      <c r="D33" s="203" t="s">
        <v>718</v>
      </c>
      <c r="E33" s="153">
        <v>0</v>
      </c>
      <c r="F33" s="154"/>
      <c r="G33" s="153">
        <v>100</v>
      </c>
      <c r="H33" s="155"/>
      <c r="I33" s="155">
        <v>60</v>
      </c>
      <c r="J33" s="155"/>
      <c r="K33" s="155">
        <v>90</v>
      </c>
      <c r="L33" s="154"/>
      <c r="M33" s="153">
        <f>300*0.8</f>
        <v>240</v>
      </c>
      <c r="N33" s="154"/>
      <c r="O33" s="153">
        <f>90*0.1</f>
        <v>9</v>
      </c>
      <c r="P33" s="154"/>
      <c r="Q33" s="153">
        <f>90*0.05</f>
        <v>4.5</v>
      </c>
      <c r="R33" s="154"/>
      <c r="S33" s="153">
        <f>90*0.05</f>
        <v>4.5</v>
      </c>
      <c r="T33" s="154"/>
      <c r="U33" s="152">
        <f t="shared" si="0"/>
        <v>258</v>
      </c>
      <c r="V33" s="219">
        <f t="shared" si="1"/>
        <v>0</v>
      </c>
    </row>
    <row r="34" spans="1:23" s="156" customFormat="1" ht="15.75" customHeight="1">
      <c r="A34" s="201" t="s">
        <v>22</v>
      </c>
      <c r="B34" s="202" t="s">
        <v>46</v>
      </c>
      <c r="C34" s="201" t="s">
        <v>65</v>
      </c>
      <c r="D34" s="203" t="s">
        <v>719</v>
      </c>
      <c r="E34" s="153"/>
      <c r="F34" s="154"/>
      <c r="G34" s="153"/>
      <c r="H34" s="155"/>
      <c r="I34" s="155"/>
      <c r="J34" s="155"/>
      <c r="K34" s="155"/>
      <c r="L34" s="154"/>
      <c r="M34" s="153"/>
      <c r="N34" s="154"/>
      <c r="O34" s="153"/>
      <c r="P34" s="154"/>
      <c r="Q34" s="153"/>
      <c r="R34" s="154"/>
      <c r="S34" s="153"/>
      <c r="T34" s="154"/>
      <c r="U34" s="152">
        <f t="shared" si="0"/>
        <v>0</v>
      </c>
      <c r="V34" s="219">
        <f t="shared" si="1"/>
        <v>0</v>
      </c>
    </row>
    <row r="35" spans="1:23" s="156" customFormat="1" ht="15.75" customHeight="1">
      <c r="A35" s="201" t="s">
        <v>22</v>
      </c>
      <c r="B35" s="202" t="s">
        <v>46</v>
      </c>
      <c r="C35" s="201" t="s">
        <v>66</v>
      </c>
      <c r="D35" s="203" t="s">
        <v>720</v>
      </c>
      <c r="E35" s="153">
        <f>318+371+126</f>
        <v>815</v>
      </c>
      <c r="F35" s="154"/>
      <c r="G35" s="153">
        <f>187+15+210</f>
        <v>412</v>
      </c>
      <c r="H35" s="155"/>
      <c r="I35" s="155">
        <f>178+14+200</f>
        <v>392</v>
      </c>
      <c r="J35" s="155"/>
      <c r="K35" s="155">
        <f>267+21+300</f>
        <v>588</v>
      </c>
      <c r="L35" s="154"/>
      <c r="M35" s="153">
        <f>238+18+267</f>
        <v>523</v>
      </c>
      <c r="N35" s="154"/>
      <c r="O35" s="153">
        <f>110+4+37</f>
        <v>151</v>
      </c>
      <c r="P35" s="154"/>
      <c r="Q35" s="153">
        <f>0+5+79</f>
        <v>84</v>
      </c>
      <c r="R35" s="154"/>
      <c r="S35" s="153">
        <f>0+0+7</f>
        <v>7</v>
      </c>
      <c r="T35" s="154"/>
      <c r="U35" s="152">
        <f t="shared" si="0"/>
        <v>765</v>
      </c>
      <c r="V35" s="219">
        <f t="shared" si="1"/>
        <v>0</v>
      </c>
      <c r="W35" s="223">
        <f>SUM(U8:U35)</f>
        <v>130651</v>
      </c>
    </row>
    <row r="36" spans="1:23" s="156" customFormat="1" ht="15.75" customHeight="1">
      <c r="A36" s="201" t="s">
        <v>67</v>
      </c>
      <c r="B36" s="202" t="s">
        <v>68</v>
      </c>
      <c r="C36" s="201" t="s">
        <v>69</v>
      </c>
      <c r="D36" s="203" t="s">
        <v>721</v>
      </c>
      <c r="E36" s="153">
        <v>74</v>
      </c>
      <c r="F36" s="154"/>
      <c r="G36" s="153">
        <v>50</v>
      </c>
      <c r="H36" s="155"/>
      <c r="I36" s="155">
        <v>11</v>
      </c>
      <c r="J36" s="155"/>
      <c r="K36" s="155">
        <v>16</v>
      </c>
      <c r="L36" s="154"/>
      <c r="M36" s="153">
        <f>250*0.8</f>
        <v>200</v>
      </c>
      <c r="N36" s="154"/>
      <c r="O36" s="153">
        <f>250*0.1</f>
        <v>25</v>
      </c>
      <c r="P36" s="154"/>
      <c r="Q36" s="153">
        <f>250*0.05</f>
        <v>12.5</v>
      </c>
      <c r="R36" s="154"/>
      <c r="S36" s="153">
        <f>250*0.05</f>
        <v>12.5</v>
      </c>
      <c r="T36" s="154"/>
      <c r="U36" s="219">
        <f t="shared" si="0"/>
        <v>250</v>
      </c>
      <c r="V36" s="219">
        <f t="shared" si="1"/>
        <v>0</v>
      </c>
    </row>
    <row r="37" spans="1:23" s="156" customFormat="1" ht="15.75" customHeight="1">
      <c r="A37" s="201" t="s">
        <v>67</v>
      </c>
      <c r="B37" s="202" t="s">
        <v>68</v>
      </c>
      <c r="C37" s="201" t="s">
        <v>70</v>
      </c>
      <c r="D37" s="203" t="s">
        <v>722</v>
      </c>
      <c r="E37" s="153"/>
      <c r="F37" s="154"/>
      <c r="G37" s="153">
        <v>0</v>
      </c>
      <c r="H37" s="155"/>
      <c r="I37" s="155"/>
      <c r="J37" s="155"/>
      <c r="K37" s="155"/>
      <c r="L37" s="154"/>
      <c r="M37" s="153"/>
      <c r="N37" s="154"/>
      <c r="O37" s="153"/>
      <c r="P37" s="154"/>
      <c r="Q37" s="153"/>
      <c r="R37" s="154"/>
      <c r="S37" s="153"/>
      <c r="T37" s="154"/>
      <c r="U37" s="219">
        <f t="shared" si="0"/>
        <v>0</v>
      </c>
      <c r="V37" s="219">
        <f t="shared" si="1"/>
        <v>0</v>
      </c>
    </row>
    <row r="38" spans="1:23" s="156" customFormat="1" ht="15.75" customHeight="1">
      <c r="A38" s="201" t="s">
        <v>67</v>
      </c>
      <c r="B38" s="202" t="s">
        <v>68</v>
      </c>
      <c r="C38" s="201" t="s">
        <v>71</v>
      </c>
      <c r="D38" s="203" t="s">
        <v>723</v>
      </c>
      <c r="E38" s="153">
        <v>431</v>
      </c>
      <c r="F38" s="154"/>
      <c r="G38" s="153">
        <v>303</v>
      </c>
      <c r="H38" s="155"/>
      <c r="I38" s="155">
        <v>289</v>
      </c>
      <c r="J38" s="155"/>
      <c r="K38" s="155">
        <v>434</v>
      </c>
      <c r="L38" s="154"/>
      <c r="M38" s="153">
        <v>386</v>
      </c>
      <c r="N38" s="154"/>
      <c r="O38" s="153">
        <v>54</v>
      </c>
      <c r="P38" s="154"/>
      <c r="Q38" s="153">
        <v>114</v>
      </c>
      <c r="R38" s="154"/>
      <c r="S38" s="153">
        <v>11</v>
      </c>
      <c r="T38" s="154"/>
      <c r="U38" s="219">
        <f t="shared" si="0"/>
        <v>565</v>
      </c>
      <c r="V38" s="219">
        <f t="shared" si="1"/>
        <v>0</v>
      </c>
    </row>
    <row r="39" spans="1:23" s="156" customFormat="1" ht="15.75" customHeight="1">
      <c r="A39" s="201" t="s">
        <v>67</v>
      </c>
      <c r="B39" s="202" t="s">
        <v>68</v>
      </c>
      <c r="C39" s="201" t="s">
        <v>72</v>
      </c>
      <c r="D39" s="203" t="s">
        <v>724</v>
      </c>
      <c r="E39" s="153"/>
      <c r="F39" s="154"/>
      <c r="G39" s="153"/>
      <c r="H39" s="155"/>
      <c r="I39" s="155"/>
      <c r="J39" s="155"/>
      <c r="K39" s="155"/>
      <c r="L39" s="154"/>
      <c r="M39" s="153"/>
      <c r="N39" s="154"/>
      <c r="O39" s="153"/>
      <c r="P39" s="154"/>
      <c r="Q39" s="153"/>
      <c r="R39" s="154"/>
      <c r="S39" s="153"/>
      <c r="T39" s="154"/>
      <c r="U39" s="219">
        <f t="shared" si="0"/>
        <v>0</v>
      </c>
      <c r="V39" s="219">
        <f t="shared" si="1"/>
        <v>0</v>
      </c>
    </row>
    <row r="40" spans="1:23" s="156" customFormat="1" ht="15.75" customHeight="1">
      <c r="A40" s="201" t="s">
        <v>67</v>
      </c>
      <c r="B40" s="202" t="s">
        <v>68</v>
      </c>
      <c r="C40" s="201" t="s">
        <v>73</v>
      </c>
      <c r="D40" s="203" t="s">
        <v>725</v>
      </c>
      <c r="E40" s="153">
        <v>103</v>
      </c>
      <c r="F40" s="154"/>
      <c r="G40" s="153">
        <v>72</v>
      </c>
      <c r="H40" s="155"/>
      <c r="I40" s="155">
        <v>69</v>
      </c>
      <c r="J40" s="155"/>
      <c r="K40" s="155">
        <v>104</v>
      </c>
      <c r="L40" s="154"/>
      <c r="M40" s="153">
        <v>92</v>
      </c>
      <c r="N40" s="154"/>
      <c r="O40" s="153">
        <v>43</v>
      </c>
      <c r="P40" s="154"/>
      <c r="Q40" s="153">
        <v>0</v>
      </c>
      <c r="R40" s="154"/>
      <c r="S40" s="153">
        <v>0</v>
      </c>
      <c r="T40" s="154"/>
      <c r="U40" s="219">
        <f t="shared" si="0"/>
        <v>135</v>
      </c>
      <c r="V40" s="219">
        <f t="shared" si="1"/>
        <v>0</v>
      </c>
    </row>
    <row r="41" spans="1:23" s="156" customFormat="1" ht="15.75" customHeight="1">
      <c r="A41" s="201" t="s">
        <v>67</v>
      </c>
      <c r="B41" s="202" t="s">
        <v>68</v>
      </c>
      <c r="C41" s="201" t="s">
        <v>74</v>
      </c>
      <c r="D41" s="203" t="s">
        <v>726</v>
      </c>
      <c r="E41" s="153"/>
      <c r="F41" s="154"/>
      <c r="G41" s="153"/>
      <c r="H41" s="155"/>
      <c r="I41" s="155"/>
      <c r="J41" s="155"/>
      <c r="K41" s="155"/>
      <c r="L41" s="154"/>
      <c r="M41" s="153"/>
      <c r="N41" s="154"/>
      <c r="O41" s="153"/>
      <c r="P41" s="154"/>
      <c r="Q41" s="153"/>
      <c r="R41" s="154"/>
      <c r="S41" s="153"/>
      <c r="T41" s="154"/>
      <c r="U41" s="219">
        <f t="shared" si="0"/>
        <v>0</v>
      </c>
      <c r="V41" s="219">
        <f t="shared" si="1"/>
        <v>0</v>
      </c>
    </row>
    <row r="42" spans="1:23" s="156" customFormat="1" ht="15.75" customHeight="1">
      <c r="A42" s="201" t="s">
        <v>67</v>
      </c>
      <c r="B42" s="202" t="s">
        <v>75</v>
      </c>
      <c r="C42" s="201" t="s">
        <v>76</v>
      </c>
      <c r="D42" s="203" t="s">
        <v>727</v>
      </c>
      <c r="E42" s="153">
        <v>111</v>
      </c>
      <c r="F42" s="154"/>
      <c r="G42" s="153">
        <v>80</v>
      </c>
      <c r="H42" s="155"/>
      <c r="I42" s="155">
        <v>53</v>
      </c>
      <c r="J42" s="155"/>
      <c r="K42" s="155">
        <v>80</v>
      </c>
      <c r="L42" s="154"/>
      <c r="M42" s="153">
        <f>84*0.8</f>
        <v>67.2</v>
      </c>
      <c r="N42" s="154"/>
      <c r="O42" s="153">
        <f>84*0.1</f>
        <v>8.4</v>
      </c>
      <c r="P42" s="154"/>
      <c r="Q42" s="153">
        <f>84*0.05</f>
        <v>4.2</v>
      </c>
      <c r="R42" s="154"/>
      <c r="S42" s="153">
        <f>84*0.05</f>
        <v>4.2</v>
      </c>
      <c r="T42" s="154"/>
      <c r="U42" s="219">
        <f t="shared" si="0"/>
        <v>84.000000000000014</v>
      </c>
      <c r="V42" s="219">
        <f t="shared" si="1"/>
        <v>0</v>
      </c>
    </row>
    <row r="43" spans="1:23" s="156" customFormat="1" ht="15.75" customHeight="1">
      <c r="A43" s="201" t="s">
        <v>67</v>
      </c>
      <c r="B43" s="202" t="s">
        <v>75</v>
      </c>
      <c r="C43" s="201" t="s">
        <v>77</v>
      </c>
      <c r="D43" s="203" t="s">
        <v>728</v>
      </c>
      <c r="E43" s="153">
        <v>349</v>
      </c>
      <c r="F43" s="154"/>
      <c r="G43" s="153">
        <v>400</v>
      </c>
      <c r="H43" s="155"/>
      <c r="I43" s="155">
        <v>210</v>
      </c>
      <c r="J43" s="155"/>
      <c r="K43" s="155">
        <v>419</v>
      </c>
      <c r="L43" s="154"/>
      <c r="M43" s="153"/>
      <c r="N43" s="154"/>
      <c r="O43" s="153"/>
      <c r="P43" s="154"/>
      <c r="Q43" s="153"/>
      <c r="R43" s="154"/>
      <c r="S43" s="153"/>
      <c r="T43" s="154"/>
      <c r="U43" s="219">
        <f t="shared" si="0"/>
        <v>0</v>
      </c>
      <c r="V43" s="219">
        <f t="shared" si="1"/>
        <v>0</v>
      </c>
    </row>
    <row r="44" spans="1:23" s="156" customFormat="1" ht="15.75" customHeight="1">
      <c r="A44" s="201" t="s">
        <v>67</v>
      </c>
      <c r="B44" s="202" t="s">
        <v>75</v>
      </c>
      <c r="C44" s="201" t="s">
        <v>78</v>
      </c>
      <c r="D44" s="203" t="s">
        <v>729</v>
      </c>
      <c r="E44" s="153">
        <v>789</v>
      </c>
      <c r="F44" s="154"/>
      <c r="G44" s="153">
        <v>1000</v>
      </c>
      <c r="H44" s="155"/>
      <c r="I44" s="155">
        <v>676</v>
      </c>
      <c r="J44" s="155"/>
      <c r="K44" s="155">
        <v>1015</v>
      </c>
      <c r="L44" s="154"/>
      <c r="M44" s="153"/>
      <c r="N44" s="154"/>
      <c r="O44" s="153"/>
      <c r="P44" s="154"/>
      <c r="Q44" s="153"/>
      <c r="R44" s="154"/>
      <c r="S44" s="153"/>
      <c r="T44" s="154"/>
      <c r="U44" s="219">
        <f t="shared" si="0"/>
        <v>0</v>
      </c>
      <c r="V44" s="219">
        <f t="shared" si="1"/>
        <v>0</v>
      </c>
    </row>
    <row r="45" spans="1:23" s="156" customFormat="1" ht="15.75" customHeight="1">
      <c r="A45" s="201" t="s">
        <v>67</v>
      </c>
      <c r="B45" s="202" t="s">
        <v>75</v>
      </c>
      <c r="C45" s="201" t="s">
        <v>79</v>
      </c>
      <c r="D45" s="203" t="s">
        <v>730</v>
      </c>
      <c r="E45" s="153">
        <v>941</v>
      </c>
      <c r="F45" s="154"/>
      <c r="G45" s="153">
        <v>1000</v>
      </c>
      <c r="H45" s="155"/>
      <c r="I45" s="155">
        <v>720</v>
      </c>
      <c r="J45" s="155"/>
      <c r="K45" s="155">
        <v>1080</v>
      </c>
      <c r="L45" s="154"/>
      <c r="M45" s="153">
        <f>2053*0.8</f>
        <v>1642.4</v>
      </c>
      <c r="N45" s="154"/>
      <c r="O45" s="153">
        <f>2053*0.1</f>
        <v>205.3</v>
      </c>
      <c r="P45" s="154"/>
      <c r="Q45" s="153">
        <f>2053*0.05</f>
        <v>102.65</v>
      </c>
      <c r="R45" s="154"/>
      <c r="S45" s="153">
        <f>2053*0.05</f>
        <v>102.65</v>
      </c>
      <c r="T45" s="154"/>
      <c r="U45" s="219">
        <f t="shared" si="0"/>
        <v>2053</v>
      </c>
      <c r="V45" s="219">
        <f t="shared" si="1"/>
        <v>0</v>
      </c>
    </row>
    <row r="46" spans="1:23" s="156" customFormat="1" ht="15.75" customHeight="1">
      <c r="A46" s="201" t="s">
        <v>67</v>
      </c>
      <c r="B46" s="202" t="s">
        <v>75</v>
      </c>
      <c r="C46" s="201" t="s">
        <v>80</v>
      </c>
      <c r="D46" s="203" t="s">
        <v>731</v>
      </c>
      <c r="E46" s="153">
        <v>1111</v>
      </c>
      <c r="F46" s="154"/>
      <c r="G46" s="153">
        <f>250</f>
        <v>250</v>
      </c>
      <c r="H46" s="155"/>
      <c r="I46" s="155">
        <f>193</f>
        <v>193</v>
      </c>
      <c r="J46" s="155"/>
      <c r="K46" s="155">
        <f>290</f>
        <v>290</v>
      </c>
      <c r="L46" s="154"/>
      <c r="M46" s="153"/>
      <c r="N46" s="154"/>
      <c r="O46" s="153"/>
      <c r="P46" s="154"/>
      <c r="Q46" s="153"/>
      <c r="R46" s="154"/>
      <c r="S46" s="153"/>
      <c r="T46" s="154"/>
      <c r="U46" s="219">
        <f t="shared" si="0"/>
        <v>0</v>
      </c>
      <c r="V46" s="219">
        <f t="shared" si="1"/>
        <v>0</v>
      </c>
    </row>
    <row r="47" spans="1:23" s="156" customFormat="1" ht="15.75" customHeight="1">
      <c r="A47" s="201" t="s">
        <v>67</v>
      </c>
      <c r="B47" s="202" t="s">
        <v>75</v>
      </c>
      <c r="C47" s="201" t="s">
        <v>81</v>
      </c>
      <c r="D47" s="203" t="s">
        <v>732</v>
      </c>
      <c r="E47" s="153">
        <v>2965</v>
      </c>
      <c r="F47" s="154"/>
      <c r="G47" s="153">
        <f>2006+2493</f>
        <v>4499</v>
      </c>
      <c r="H47" s="155"/>
      <c r="I47" s="155">
        <f>946+1175</f>
        <v>2121</v>
      </c>
      <c r="J47" s="155"/>
      <c r="K47" s="155">
        <f>1891+2350</f>
        <v>4241</v>
      </c>
      <c r="L47" s="154"/>
      <c r="M47" s="153">
        <f>2270+2820</f>
        <v>5090</v>
      </c>
      <c r="N47" s="154"/>
      <c r="O47" s="153"/>
      <c r="P47" s="154"/>
      <c r="Q47" s="153"/>
      <c r="R47" s="154"/>
      <c r="S47" s="153"/>
      <c r="T47" s="154"/>
      <c r="U47" s="219">
        <f t="shared" si="0"/>
        <v>5090</v>
      </c>
      <c r="V47" s="219">
        <f t="shared" si="1"/>
        <v>0</v>
      </c>
    </row>
    <row r="48" spans="1:23" s="156" customFormat="1" ht="15.75" customHeight="1">
      <c r="A48" s="201" t="s">
        <v>67</v>
      </c>
      <c r="B48" s="202" t="s">
        <v>82</v>
      </c>
      <c r="C48" s="201" t="s">
        <v>83</v>
      </c>
      <c r="D48" s="203" t="s">
        <v>733</v>
      </c>
      <c r="E48" s="153">
        <v>69</v>
      </c>
      <c r="F48" s="154"/>
      <c r="G48" s="153">
        <f>150</f>
        <v>150</v>
      </c>
      <c r="H48" s="155"/>
      <c r="I48" s="155">
        <f>111</f>
        <v>111</v>
      </c>
      <c r="J48" s="155"/>
      <c r="K48" s="155">
        <f>167</f>
        <v>167</v>
      </c>
      <c r="L48" s="154"/>
      <c r="M48" s="153"/>
      <c r="N48" s="154"/>
      <c r="O48" s="153"/>
      <c r="P48" s="154"/>
      <c r="Q48" s="153"/>
      <c r="R48" s="154"/>
      <c r="S48" s="153"/>
      <c r="T48" s="154"/>
      <c r="U48" s="219">
        <f t="shared" si="0"/>
        <v>0</v>
      </c>
      <c r="V48" s="219">
        <f t="shared" si="1"/>
        <v>0</v>
      </c>
    </row>
    <row r="49" spans="1:22" s="156" customFormat="1" ht="15.75" customHeight="1">
      <c r="A49" s="201" t="s">
        <v>67</v>
      </c>
      <c r="B49" s="202" t="s">
        <v>82</v>
      </c>
      <c r="C49" s="201" t="s">
        <v>84</v>
      </c>
      <c r="D49" s="203" t="s">
        <v>734</v>
      </c>
      <c r="E49" s="153">
        <v>757</v>
      </c>
      <c r="F49" s="154"/>
      <c r="G49" s="153">
        <v>1100</v>
      </c>
      <c r="H49" s="155"/>
      <c r="I49" s="155">
        <v>748</v>
      </c>
      <c r="J49" s="155"/>
      <c r="K49" s="155">
        <v>1122</v>
      </c>
      <c r="L49" s="154"/>
      <c r="M49" s="153"/>
      <c r="N49" s="154"/>
      <c r="O49" s="153"/>
      <c r="P49" s="154"/>
      <c r="Q49" s="153"/>
      <c r="R49" s="154"/>
      <c r="S49" s="153"/>
      <c r="T49" s="154"/>
      <c r="U49" s="219">
        <f t="shared" si="0"/>
        <v>0</v>
      </c>
      <c r="V49" s="219">
        <f t="shared" si="1"/>
        <v>0</v>
      </c>
    </row>
    <row r="50" spans="1:22" s="156" customFormat="1" ht="15.75" customHeight="1">
      <c r="A50" s="201" t="s">
        <v>67</v>
      </c>
      <c r="B50" s="202" t="s">
        <v>82</v>
      </c>
      <c r="C50" s="201" t="s">
        <v>85</v>
      </c>
      <c r="D50" s="203" t="s">
        <v>735</v>
      </c>
      <c r="E50" s="153">
        <v>1269</v>
      </c>
      <c r="F50" s="154"/>
      <c r="G50" s="153">
        <f>1500</f>
        <v>1500</v>
      </c>
      <c r="H50" s="155"/>
      <c r="I50" s="155">
        <f>63</f>
        <v>63</v>
      </c>
      <c r="J50" s="155"/>
      <c r="K50" s="155">
        <f>1061</f>
        <v>1061</v>
      </c>
      <c r="L50" s="154"/>
      <c r="M50" s="153"/>
      <c r="N50" s="154"/>
      <c r="O50" s="153"/>
      <c r="P50" s="154"/>
      <c r="Q50" s="153">
        <f>1100</f>
        <v>1100</v>
      </c>
      <c r="R50" s="154"/>
      <c r="S50" s="153"/>
      <c r="T50" s="154"/>
      <c r="U50" s="219">
        <f t="shared" si="0"/>
        <v>1100</v>
      </c>
      <c r="V50" s="219">
        <f t="shared" si="1"/>
        <v>0</v>
      </c>
    </row>
    <row r="51" spans="1:22" s="156" customFormat="1" ht="15.75" customHeight="1">
      <c r="A51" s="201" t="s">
        <v>67</v>
      </c>
      <c r="B51" s="202" t="s">
        <v>82</v>
      </c>
      <c r="C51" s="201" t="s">
        <v>86</v>
      </c>
      <c r="D51" s="203" t="s">
        <v>736</v>
      </c>
      <c r="E51" s="153">
        <f>121+185</f>
        <v>306</v>
      </c>
      <c r="F51" s="154"/>
      <c r="G51" s="153">
        <v>150</v>
      </c>
      <c r="H51" s="155"/>
      <c r="I51" s="155">
        <v>111</v>
      </c>
      <c r="J51" s="155"/>
      <c r="K51" s="155">
        <v>167</v>
      </c>
      <c r="L51" s="154"/>
      <c r="M51" s="153">
        <f>250*0.8</f>
        <v>200</v>
      </c>
      <c r="N51" s="154"/>
      <c r="O51" s="153">
        <f>250*0.1</f>
        <v>25</v>
      </c>
      <c r="P51" s="154"/>
      <c r="Q51" s="153">
        <f>250*0.05</f>
        <v>12.5</v>
      </c>
      <c r="R51" s="154"/>
      <c r="S51" s="153">
        <f>250*0.05</f>
        <v>12.5</v>
      </c>
      <c r="T51" s="154"/>
      <c r="U51" s="219">
        <f t="shared" si="0"/>
        <v>250</v>
      </c>
      <c r="V51" s="219">
        <f t="shared" si="1"/>
        <v>0</v>
      </c>
    </row>
    <row r="52" spans="1:22" s="156" customFormat="1" ht="15.75" customHeight="1">
      <c r="A52" s="201" t="s">
        <v>67</v>
      </c>
      <c r="B52" s="202" t="s">
        <v>82</v>
      </c>
      <c r="C52" s="202" t="s">
        <v>87</v>
      </c>
      <c r="D52" s="203" t="s">
        <v>737</v>
      </c>
      <c r="E52" s="153">
        <v>59</v>
      </c>
      <c r="F52" s="154"/>
      <c r="G52" s="153">
        <v>100</v>
      </c>
      <c r="H52" s="155"/>
      <c r="I52" s="155">
        <v>60</v>
      </c>
      <c r="J52" s="155"/>
      <c r="K52" s="155">
        <v>90</v>
      </c>
      <c r="L52" s="154"/>
      <c r="M52" s="153">
        <f>99*0.8</f>
        <v>79.2</v>
      </c>
      <c r="N52" s="154"/>
      <c r="O52" s="153">
        <f>99*0.1</f>
        <v>9.9</v>
      </c>
      <c r="P52" s="154"/>
      <c r="Q52" s="153">
        <f>99*0.05</f>
        <v>4.95</v>
      </c>
      <c r="R52" s="154"/>
      <c r="S52" s="153">
        <f>99*0.05</f>
        <v>4.95</v>
      </c>
      <c r="T52" s="154"/>
      <c r="U52" s="219">
        <f t="shared" si="0"/>
        <v>99.000000000000014</v>
      </c>
      <c r="V52" s="219">
        <f t="shared" si="1"/>
        <v>0</v>
      </c>
    </row>
    <row r="53" spans="1:22" s="156" customFormat="1" ht="15.75" customHeight="1">
      <c r="A53" s="201" t="s">
        <v>67</v>
      </c>
      <c r="B53" s="202" t="s">
        <v>82</v>
      </c>
      <c r="C53" s="202" t="s">
        <v>88</v>
      </c>
      <c r="D53" s="203" t="s">
        <v>738</v>
      </c>
      <c r="E53" s="153">
        <v>58</v>
      </c>
      <c r="F53" s="154"/>
      <c r="G53" s="153">
        <v>150</v>
      </c>
      <c r="H53" s="155"/>
      <c r="I53" s="155">
        <v>107</v>
      </c>
      <c r="J53" s="155"/>
      <c r="K53" s="155">
        <v>161</v>
      </c>
      <c r="L53" s="154"/>
      <c r="M53" s="153">
        <f>201*0.8</f>
        <v>160.80000000000001</v>
      </c>
      <c r="N53" s="154"/>
      <c r="O53" s="153">
        <f>201*0.1</f>
        <v>20.100000000000001</v>
      </c>
      <c r="P53" s="154"/>
      <c r="Q53" s="153">
        <f>201*0.05</f>
        <v>10.050000000000001</v>
      </c>
      <c r="R53" s="154"/>
      <c r="S53" s="153">
        <f>201*0.05</f>
        <v>10.050000000000001</v>
      </c>
      <c r="T53" s="154"/>
      <c r="U53" s="219">
        <f t="shared" si="0"/>
        <v>201.00000000000003</v>
      </c>
      <c r="V53" s="219">
        <f t="shared" si="1"/>
        <v>0</v>
      </c>
    </row>
    <row r="54" spans="1:22" s="156" customFormat="1" ht="15.75" customHeight="1">
      <c r="A54" s="201" t="s">
        <v>67</v>
      </c>
      <c r="B54" s="202" t="s">
        <v>82</v>
      </c>
      <c r="C54" s="202" t="s">
        <v>89</v>
      </c>
      <c r="D54" s="203" t="s">
        <v>739</v>
      </c>
      <c r="E54" s="153"/>
      <c r="F54" s="154"/>
      <c r="G54" s="153"/>
      <c r="H54" s="155"/>
      <c r="I54" s="155"/>
      <c r="J54" s="155"/>
      <c r="K54" s="155"/>
      <c r="L54" s="154"/>
      <c r="M54" s="153"/>
      <c r="N54" s="154"/>
      <c r="O54" s="153"/>
      <c r="P54" s="154"/>
      <c r="Q54" s="153"/>
      <c r="R54" s="154"/>
      <c r="S54" s="153"/>
      <c r="T54" s="154"/>
      <c r="U54" s="219">
        <f t="shared" si="0"/>
        <v>0</v>
      </c>
      <c r="V54" s="219">
        <f t="shared" si="1"/>
        <v>0</v>
      </c>
    </row>
    <row r="55" spans="1:22" s="156" customFormat="1" ht="15.75" customHeight="1">
      <c r="A55" s="201" t="s">
        <v>67</v>
      </c>
      <c r="B55" s="202" t="s">
        <v>82</v>
      </c>
      <c r="C55" s="202" t="s">
        <v>90</v>
      </c>
      <c r="D55" s="203" t="s">
        <v>740</v>
      </c>
      <c r="E55" s="153"/>
      <c r="F55" s="154"/>
      <c r="G55" s="153"/>
      <c r="H55" s="155"/>
      <c r="I55" s="155"/>
      <c r="J55" s="155"/>
      <c r="K55" s="155"/>
      <c r="L55" s="154"/>
      <c r="M55" s="153"/>
      <c r="N55" s="154"/>
      <c r="O55" s="153"/>
      <c r="P55" s="154"/>
      <c r="Q55" s="153"/>
      <c r="R55" s="154"/>
      <c r="S55" s="153"/>
      <c r="T55" s="154"/>
      <c r="U55" s="219">
        <f t="shared" si="0"/>
        <v>0</v>
      </c>
      <c r="V55" s="219">
        <f t="shared" si="1"/>
        <v>0</v>
      </c>
    </row>
    <row r="56" spans="1:22" s="156" customFormat="1" ht="15.75" customHeight="1">
      <c r="A56" s="201" t="s">
        <v>67</v>
      </c>
      <c r="B56" s="202" t="s">
        <v>82</v>
      </c>
      <c r="C56" s="202" t="s">
        <v>91</v>
      </c>
      <c r="D56" s="203" t="s">
        <v>741</v>
      </c>
      <c r="E56" s="153"/>
      <c r="F56" s="154"/>
      <c r="G56" s="153"/>
      <c r="H56" s="155"/>
      <c r="I56" s="155"/>
      <c r="J56" s="155"/>
      <c r="K56" s="155"/>
      <c r="L56" s="154"/>
      <c r="M56" s="153"/>
      <c r="N56" s="154"/>
      <c r="O56" s="153"/>
      <c r="P56" s="154"/>
      <c r="Q56" s="153"/>
      <c r="R56" s="154"/>
      <c r="S56" s="153"/>
      <c r="T56" s="154"/>
      <c r="U56" s="219">
        <f t="shared" si="0"/>
        <v>0</v>
      </c>
      <c r="V56" s="219">
        <f t="shared" si="1"/>
        <v>0</v>
      </c>
    </row>
    <row r="57" spans="1:22" s="156" customFormat="1" ht="15.75" customHeight="1">
      <c r="A57" s="201" t="s">
        <v>67</v>
      </c>
      <c r="B57" s="202" t="s">
        <v>82</v>
      </c>
      <c r="C57" s="202" t="s">
        <v>92</v>
      </c>
      <c r="D57" s="203" t="s">
        <v>742</v>
      </c>
      <c r="E57" s="153"/>
      <c r="F57" s="154"/>
      <c r="G57" s="153"/>
      <c r="H57" s="155"/>
      <c r="I57" s="155"/>
      <c r="J57" s="155"/>
      <c r="K57" s="155"/>
      <c r="L57" s="154"/>
      <c r="M57" s="153"/>
      <c r="N57" s="154"/>
      <c r="O57" s="153"/>
      <c r="P57" s="154"/>
      <c r="Q57" s="153"/>
      <c r="R57" s="154"/>
      <c r="S57" s="153"/>
      <c r="T57" s="154"/>
      <c r="U57" s="219">
        <f t="shared" si="0"/>
        <v>0</v>
      </c>
      <c r="V57" s="219">
        <f t="shared" si="1"/>
        <v>0</v>
      </c>
    </row>
    <row r="58" spans="1:22" s="156" customFormat="1" ht="15.75" customHeight="1">
      <c r="A58" s="201" t="s">
        <v>67</v>
      </c>
      <c r="B58" s="202" t="s">
        <v>82</v>
      </c>
      <c r="C58" s="202" t="s">
        <v>93</v>
      </c>
      <c r="D58" s="203" t="s">
        <v>743</v>
      </c>
      <c r="E58" s="153"/>
      <c r="F58" s="154"/>
      <c r="G58" s="153"/>
      <c r="H58" s="155"/>
      <c r="I58" s="155"/>
      <c r="J58" s="155"/>
      <c r="K58" s="155"/>
      <c r="L58" s="154"/>
      <c r="M58" s="153"/>
      <c r="N58" s="154"/>
      <c r="O58" s="153"/>
      <c r="P58" s="154"/>
      <c r="Q58" s="153"/>
      <c r="R58" s="154"/>
      <c r="S58" s="153"/>
      <c r="T58" s="154"/>
      <c r="U58" s="219">
        <f t="shared" si="0"/>
        <v>0</v>
      </c>
      <c r="V58" s="219">
        <f t="shared" si="1"/>
        <v>0</v>
      </c>
    </row>
    <row r="59" spans="1:22" s="156" customFormat="1" ht="15.75" customHeight="1">
      <c r="A59" s="201" t="s">
        <v>67</v>
      </c>
      <c r="B59" s="202" t="s">
        <v>82</v>
      </c>
      <c r="C59" s="202" t="s">
        <v>94</v>
      </c>
      <c r="D59" s="203" t="s">
        <v>744</v>
      </c>
      <c r="E59" s="153"/>
      <c r="F59" s="154"/>
      <c r="G59" s="153"/>
      <c r="H59" s="155"/>
      <c r="I59" s="155"/>
      <c r="J59" s="155"/>
      <c r="K59" s="155"/>
      <c r="L59" s="154"/>
      <c r="M59" s="153"/>
      <c r="N59" s="154"/>
      <c r="O59" s="153"/>
      <c r="P59" s="154"/>
      <c r="Q59" s="153"/>
      <c r="R59" s="154"/>
      <c r="S59" s="153"/>
      <c r="T59" s="154"/>
      <c r="U59" s="219">
        <f t="shared" si="0"/>
        <v>0</v>
      </c>
      <c r="V59" s="219">
        <f t="shared" si="1"/>
        <v>0</v>
      </c>
    </row>
    <row r="60" spans="1:22" s="156" customFormat="1" ht="15.75" customHeight="1">
      <c r="A60" s="201" t="s">
        <v>67</v>
      </c>
      <c r="B60" s="202" t="s">
        <v>82</v>
      </c>
      <c r="C60" s="202" t="s">
        <v>95</v>
      </c>
      <c r="D60" s="203" t="s">
        <v>745</v>
      </c>
      <c r="E60" s="153"/>
      <c r="F60" s="154"/>
      <c r="G60" s="153"/>
      <c r="H60" s="155"/>
      <c r="I60" s="155"/>
      <c r="J60" s="155"/>
      <c r="K60" s="155"/>
      <c r="L60" s="154"/>
      <c r="M60" s="153"/>
      <c r="N60" s="154"/>
      <c r="O60" s="153"/>
      <c r="P60" s="154"/>
      <c r="Q60" s="153"/>
      <c r="R60" s="154"/>
      <c r="S60" s="153"/>
      <c r="T60" s="154"/>
      <c r="U60" s="219">
        <f t="shared" si="0"/>
        <v>0</v>
      </c>
      <c r="V60" s="219">
        <f t="shared" si="1"/>
        <v>0</v>
      </c>
    </row>
    <row r="61" spans="1:22" s="156" customFormat="1" ht="15.75" customHeight="1">
      <c r="A61" s="201" t="s">
        <v>67</v>
      </c>
      <c r="B61" s="202" t="s">
        <v>82</v>
      </c>
      <c r="C61" s="201" t="s">
        <v>96</v>
      </c>
      <c r="D61" s="203" t="s">
        <v>746</v>
      </c>
      <c r="E61" s="153"/>
      <c r="F61" s="154"/>
      <c r="G61" s="153"/>
      <c r="H61" s="155"/>
      <c r="I61" s="155"/>
      <c r="J61" s="155"/>
      <c r="K61" s="155"/>
      <c r="L61" s="154"/>
      <c r="M61" s="153"/>
      <c r="N61" s="154"/>
      <c r="O61" s="153"/>
      <c r="P61" s="154"/>
      <c r="Q61" s="153"/>
      <c r="R61" s="154"/>
      <c r="S61" s="153"/>
      <c r="T61" s="154"/>
      <c r="U61" s="219">
        <f t="shared" si="0"/>
        <v>0</v>
      </c>
      <c r="V61" s="219">
        <f t="shared" si="1"/>
        <v>0</v>
      </c>
    </row>
    <row r="62" spans="1:22" s="156" customFormat="1" ht="15.75" customHeight="1">
      <c r="A62" s="201" t="s">
        <v>67</v>
      </c>
      <c r="B62" s="202" t="s">
        <v>82</v>
      </c>
      <c r="C62" s="201" t="s">
        <v>97</v>
      </c>
      <c r="D62" s="203" t="s">
        <v>747</v>
      </c>
      <c r="E62" s="153"/>
      <c r="F62" s="154"/>
      <c r="G62" s="153"/>
      <c r="H62" s="155"/>
      <c r="I62" s="155"/>
      <c r="J62" s="155"/>
      <c r="K62" s="155"/>
      <c r="L62" s="154"/>
      <c r="M62" s="153"/>
      <c r="N62" s="154"/>
      <c r="O62" s="153"/>
      <c r="P62" s="154"/>
      <c r="Q62" s="153"/>
      <c r="R62" s="154"/>
      <c r="S62" s="153"/>
      <c r="T62" s="154"/>
      <c r="U62" s="219">
        <f t="shared" si="0"/>
        <v>0</v>
      </c>
      <c r="V62" s="219">
        <f t="shared" si="1"/>
        <v>0</v>
      </c>
    </row>
    <row r="63" spans="1:22" s="156" customFormat="1" ht="15.75" customHeight="1">
      <c r="A63" s="201" t="s">
        <v>67</v>
      </c>
      <c r="B63" s="202" t="s">
        <v>82</v>
      </c>
      <c r="C63" s="201" t="s">
        <v>98</v>
      </c>
      <c r="D63" s="203" t="s">
        <v>748</v>
      </c>
      <c r="E63" s="153">
        <v>0</v>
      </c>
      <c r="F63" s="154"/>
      <c r="G63" s="153">
        <f>1500</f>
        <v>1500</v>
      </c>
      <c r="H63" s="155"/>
      <c r="I63" s="155">
        <f>366</f>
        <v>366</v>
      </c>
      <c r="J63" s="155"/>
      <c r="K63" s="155">
        <f>1833</f>
        <v>1833</v>
      </c>
      <c r="L63" s="154"/>
      <c r="M63" s="153"/>
      <c r="N63" s="154"/>
      <c r="O63" s="153"/>
      <c r="P63" s="154"/>
      <c r="Q63" s="153">
        <f>2100</f>
        <v>2100</v>
      </c>
      <c r="R63" s="154"/>
      <c r="S63" s="153"/>
      <c r="T63" s="154"/>
      <c r="U63" s="219">
        <f t="shared" si="0"/>
        <v>2100</v>
      </c>
      <c r="V63" s="219">
        <f t="shared" si="1"/>
        <v>0</v>
      </c>
    </row>
    <row r="64" spans="1:22" s="156" customFormat="1" ht="15.75" customHeight="1">
      <c r="A64" s="201" t="s">
        <v>67</v>
      </c>
      <c r="B64" s="202" t="s">
        <v>99</v>
      </c>
      <c r="C64" s="201" t="s">
        <v>100</v>
      </c>
      <c r="D64" s="203" t="s">
        <v>749</v>
      </c>
      <c r="E64" s="153"/>
      <c r="F64" s="154"/>
      <c r="G64" s="153"/>
      <c r="H64" s="155"/>
      <c r="I64" s="155"/>
      <c r="J64" s="155"/>
      <c r="K64" s="155"/>
      <c r="L64" s="154"/>
      <c r="M64" s="153"/>
      <c r="N64" s="154"/>
      <c r="O64" s="153"/>
      <c r="P64" s="154"/>
      <c r="Q64" s="153"/>
      <c r="R64" s="154"/>
      <c r="S64" s="153"/>
      <c r="T64" s="154"/>
      <c r="U64" s="219">
        <f t="shared" si="0"/>
        <v>0</v>
      </c>
      <c r="V64" s="219">
        <f t="shared" si="1"/>
        <v>0</v>
      </c>
    </row>
    <row r="65" spans="1:22" s="156" customFormat="1" ht="15.75" customHeight="1">
      <c r="A65" s="201" t="s">
        <v>67</v>
      </c>
      <c r="B65" s="202" t="s">
        <v>99</v>
      </c>
      <c r="C65" s="201" t="s">
        <v>101</v>
      </c>
      <c r="D65" s="203" t="s">
        <v>750</v>
      </c>
      <c r="E65" s="153"/>
      <c r="F65" s="154"/>
      <c r="G65" s="153"/>
      <c r="H65" s="155"/>
      <c r="I65" s="155"/>
      <c r="J65" s="155"/>
      <c r="K65" s="155"/>
      <c r="L65" s="154"/>
      <c r="M65" s="153"/>
      <c r="N65" s="154"/>
      <c r="O65" s="153"/>
      <c r="P65" s="154"/>
      <c r="Q65" s="153"/>
      <c r="R65" s="154"/>
      <c r="S65" s="153"/>
      <c r="T65" s="154"/>
      <c r="U65" s="219">
        <f t="shared" si="0"/>
        <v>0</v>
      </c>
      <c r="V65" s="219">
        <f t="shared" si="1"/>
        <v>0</v>
      </c>
    </row>
    <row r="66" spans="1:22" s="156" customFormat="1" ht="15.75" customHeight="1">
      <c r="A66" s="201" t="s">
        <v>67</v>
      </c>
      <c r="B66" s="202" t="s">
        <v>99</v>
      </c>
      <c r="C66" s="201" t="s">
        <v>102</v>
      </c>
      <c r="D66" s="203" t="s">
        <v>751</v>
      </c>
      <c r="E66" s="153"/>
      <c r="F66" s="154"/>
      <c r="G66" s="153"/>
      <c r="H66" s="155"/>
      <c r="I66" s="155"/>
      <c r="J66" s="155"/>
      <c r="K66" s="155"/>
      <c r="L66" s="154"/>
      <c r="M66" s="153"/>
      <c r="N66" s="154"/>
      <c r="O66" s="153"/>
      <c r="P66" s="154"/>
      <c r="Q66" s="153"/>
      <c r="R66" s="154"/>
      <c r="S66" s="153"/>
      <c r="T66" s="154"/>
      <c r="U66" s="219">
        <f t="shared" si="0"/>
        <v>0</v>
      </c>
      <c r="V66" s="219">
        <f t="shared" si="1"/>
        <v>0</v>
      </c>
    </row>
    <row r="67" spans="1:22" s="156" customFormat="1" ht="15.75" customHeight="1">
      <c r="A67" s="201" t="s">
        <v>67</v>
      </c>
      <c r="B67" s="202" t="s">
        <v>103</v>
      </c>
      <c r="C67" s="201" t="s">
        <v>104</v>
      </c>
      <c r="D67" s="203" t="s">
        <v>752</v>
      </c>
      <c r="E67" s="153"/>
      <c r="F67" s="154"/>
      <c r="G67" s="153"/>
      <c r="H67" s="155"/>
      <c r="I67" s="155"/>
      <c r="J67" s="155"/>
      <c r="K67" s="155"/>
      <c r="L67" s="154"/>
      <c r="M67" s="153"/>
      <c r="N67" s="154"/>
      <c r="O67" s="153"/>
      <c r="P67" s="154"/>
      <c r="Q67" s="153"/>
      <c r="R67" s="154"/>
      <c r="S67" s="153"/>
      <c r="T67" s="154"/>
      <c r="U67" s="219">
        <f t="shared" si="0"/>
        <v>0</v>
      </c>
      <c r="V67" s="219">
        <f t="shared" si="1"/>
        <v>0</v>
      </c>
    </row>
    <row r="68" spans="1:22" s="156" customFormat="1" ht="15.75" customHeight="1">
      <c r="A68" s="201" t="s">
        <v>67</v>
      </c>
      <c r="B68" s="202" t="s">
        <v>103</v>
      </c>
      <c r="C68" s="201" t="s">
        <v>105</v>
      </c>
      <c r="D68" s="203" t="s">
        <v>753</v>
      </c>
      <c r="E68" s="153"/>
      <c r="F68" s="154"/>
      <c r="G68" s="153"/>
      <c r="H68" s="155"/>
      <c r="I68" s="155"/>
      <c r="J68" s="155"/>
      <c r="K68" s="155"/>
      <c r="L68" s="154"/>
      <c r="M68" s="153"/>
      <c r="N68" s="154"/>
      <c r="O68" s="153"/>
      <c r="P68" s="154"/>
      <c r="Q68" s="153"/>
      <c r="R68" s="154"/>
      <c r="S68" s="153"/>
      <c r="T68" s="154"/>
      <c r="U68" s="219">
        <f t="shared" si="0"/>
        <v>0</v>
      </c>
      <c r="V68" s="219">
        <f t="shared" si="1"/>
        <v>0</v>
      </c>
    </row>
    <row r="69" spans="1:22" s="156" customFormat="1" ht="15.75" customHeight="1">
      <c r="A69" s="201" t="s">
        <v>67</v>
      </c>
      <c r="B69" s="202" t="s">
        <v>103</v>
      </c>
      <c r="C69" s="201" t="s">
        <v>106</v>
      </c>
      <c r="D69" s="203" t="s">
        <v>754</v>
      </c>
      <c r="E69" s="153">
        <v>47712</v>
      </c>
      <c r="F69" s="154"/>
      <c r="G69" s="153">
        <f>35082+25721</f>
        <v>60803</v>
      </c>
      <c r="H69" s="155"/>
      <c r="I69" s="155">
        <f>10913+16925</f>
        <v>27838</v>
      </c>
      <c r="J69" s="155"/>
      <c r="K69" s="155">
        <f>37474+27399</f>
        <v>64873</v>
      </c>
      <c r="L69" s="154"/>
      <c r="M69" s="153">
        <v>40291</v>
      </c>
      <c r="N69" s="154"/>
      <c r="O69" s="153"/>
      <c r="P69" s="154"/>
      <c r="Q69" s="153">
        <f>33509</f>
        <v>33509</v>
      </c>
      <c r="R69" s="154"/>
      <c r="S69" s="153"/>
      <c r="T69" s="154"/>
      <c r="U69" s="219">
        <f t="shared" si="0"/>
        <v>73800</v>
      </c>
      <c r="V69" s="219">
        <f t="shared" si="1"/>
        <v>0</v>
      </c>
    </row>
    <row r="70" spans="1:22" s="156" customFormat="1" ht="15.75" customHeight="1">
      <c r="A70" s="201" t="s">
        <v>67</v>
      </c>
      <c r="B70" s="202" t="s">
        <v>103</v>
      </c>
      <c r="C70" s="201" t="s">
        <v>107</v>
      </c>
      <c r="D70" s="203" t="s">
        <v>755</v>
      </c>
      <c r="E70" s="153"/>
      <c r="F70" s="154"/>
      <c r="G70" s="153"/>
      <c r="H70" s="155"/>
      <c r="I70" s="155"/>
      <c r="J70" s="155"/>
      <c r="K70" s="155"/>
      <c r="L70" s="154"/>
      <c r="M70" s="153"/>
      <c r="N70" s="154"/>
      <c r="O70" s="153"/>
      <c r="P70" s="154"/>
      <c r="Q70" s="153"/>
      <c r="R70" s="154"/>
      <c r="S70" s="153"/>
      <c r="T70" s="154"/>
      <c r="U70" s="219">
        <f t="shared" si="0"/>
        <v>0</v>
      </c>
      <c r="V70" s="219">
        <f t="shared" si="1"/>
        <v>0</v>
      </c>
    </row>
    <row r="71" spans="1:22" s="156" customFormat="1" ht="15.75" customHeight="1">
      <c r="A71" s="201" t="s">
        <v>67</v>
      </c>
      <c r="B71" s="202" t="s">
        <v>108</v>
      </c>
      <c r="C71" s="201" t="s">
        <v>109</v>
      </c>
      <c r="D71" s="203" t="s">
        <v>756</v>
      </c>
      <c r="E71" s="153"/>
      <c r="F71" s="154"/>
      <c r="G71" s="153"/>
      <c r="H71" s="155"/>
      <c r="I71" s="155"/>
      <c r="J71" s="155"/>
      <c r="K71" s="155"/>
      <c r="L71" s="154"/>
      <c r="M71" s="153"/>
      <c r="N71" s="154"/>
      <c r="O71" s="153"/>
      <c r="P71" s="154"/>
      <c r="Q71" s="153"/>
      <c r="R71" s="154"/>
      <c r="S71" s="153"/>
      <c r="T71" s="154"/>
      <c r="U71" s="219">
        <f t="shared" si="0"/>
        <v>0</v>
      </c>
      <c r="V71" s="219">
        <f t="shared" si="1"/>
        <v>0</v>
      </c>
    </row>
    <row r="72" spans="1:22" s="156" customFormat="1" ht="15.75" customHeight="1">
      <c r="A72" s="201" t="s">
        <v>67</v>
      </c>
      <c r="B72" s="202" t="s">
        <v>108</v>
      </c>
      <c r="C72" s="201" t="s">
        <v>110</v>
      </c>
      <c r="D72" s="203" t="s">
        <v>757</v>
      </c>
      <c r="E72" s="153"/>
      <c r="F72" s="154"/>
      <c r="G72" s="153"/>
      <c r="H72" s="155"/>
      <c r="I72" s="155"/>
      <c r="J72" s="155"/>
      <c r="K72" s="155"/>
      <c r="L72" s="154"/>
      <c r="M72" s="153"/>
      <c r="N72" s="154"/>
      <c r="O72" s="153"/>
      <c r="P72" s="154"/>
      <c r="Q72" s="153"/>
      <c r="R72" s="154"/>
      <c r="S72" s="153"/>
      <c r="T72" s="154"/>
      <c r="U72" s="219">
        <f t="shared" si="0"/>
        <v>0</v>
      </c>
      <c r="V72" s="219">
        <f t="shared" si="1"/>
        <v>0</v>
      </c>
    </row>
    <row r="73" spans="1:22" s="156" customFormat="1" ht="15.75" customHeight="1">
      <c r="A73" s="201" t="s">
        <v>67</v>
      </c>
      <c r="B73" s="202" t="s">
        <v>108</v>
      </c>
      <c r="C73" s="201" t="s">
        <v>111</v>
      </c>
      <c r="D73" s="203" t="s">
        <v>758</v>
      </c>
      <c r="E73" s="153"/>
      <c r="F73" s="154"/>
      <c r="G73" s="153"/>
      <c r="H73" s="155"/>
      <c r="I73" s="155"/>
      <c r="J73" s="155"/>
      <c r="K73" s="155"/>
      <c r="L73" s="154"/>
      <c r="M73" s="153"/>
      <c r="N73" s="154"/>
      <c r="O73" s="153"/>
      <c r="P73" s="154"/>
      <c r="Q73" s="153"/>
      <c r="R73" s="154"/>
      <c r="S73" s="153"/>
      <c r="T73" s="154"/>
      <c r="U73" s="219">
        <f t="shared" ref="U73:U136" si="2">M73+O73+Q73+S73</f>
        <v>0</v>
      </c>
      <c r="V73" s="219">
        <f t="shared" ref="V73:V136" si="3">N73+P73+R73+T73</f>
        <v>0</v>
      </c>
    </row>
    <row r="74" spans="1:22" s="156" customFormat="1" ht="15.75" customHeight="1">
      <c r="A74" s="201" t="s">
        <v>67</v>
      </c>
      <c r="B74" s="202" t="s">
        <v>108</v>
      </c>
      <c r="C74" s="201" t="s">
        <v>112</v>
      </c>
      <c r="D74" s="203" t="s">
        <v>759</v>
      </c>
      <c r="E74" s="153">
        <v>38</v>
      </c>
      <c r="F74" s="154"/>
      <c r="G74" s="153">
        <v>30</v>
      </c>
      <c r="H74" s="155"/>
      <c r="I74" s="155">
        <v>19</v>
      </c>
      <c r="J74" s="155"/>
      <c r="K74" s="155">
        <v>28</v>
      </c>
      <c r="L74" s="154"/>
      <c r="M74" s="153">
        <f>36*0.8</f>
        <v>28.8</v>
      </c>
      <c r="N74" s="154"/>
      <c r="O74" s="153">
        <f>36*0.1</f>
        <v>3.6</v>
      </c>
      <c r="P74" s="154"/>
      <c r="Q74" s="153">
        <f>36*0.05</f>
        <v>1.8</v>
      </c>
      <c r="R74" s="154"/>
      <c r="S74" s="153">
        <f>36*0.05</f>
        <v>1.8</v>
      </c>
      <c r="T74" s="154"/>
      <c r="U74" s="219">
        <f t="shared" si="2"/>
        <v>35.999999999999993</v>
      </c>
      <c r="V74" s="219">
        <f t="shared" si="3"/>
        <v>0</v>
      </c>
    </row>
    <row r="75" spans="1:22" s="156" customFormat="1" ht="15.75" customHeight="1">
      <c r="A75" s="201" t="s">
        <v>67</v>
      </c>
      <c r="B75" s="202" t="s">
        <v>108</v>
      </c>
      <c r="C75" s="201" t="s">
        <v>113</v>
      </c>
      <c r="D75" s="203" t="s">
        <v>760</v>
      </c>
      <c r="E75" s="153">
        <v>0</v>
      </c>
      <c r="F75" s="154"/>
      <c r="G75" s="153">
        <f>1000</f>
        <v>1000</v>
      </c>
      <c r="H75" s="155"/>
      <c r="I75" s="155">
        <v>0</v>
      </c>
      <c r="J75" s="155"/>
      <c r="K75" s="155">
        <v>0</v>
      </c>
      <c r="L75" s="154"/>
      <c r="M75" s="153"/>
      <c r="N75" s="154"/>
      <c r="O75" s="153">
        <f>2000</f>
        <v>2000</v>
      </c>
      <c r="P75" s="154"/>
      <c r="Q75" s="153"/>
      <c r="R75" s="154"/>
      <c r="S75" s="153"/>
      <c r="T75" s="154"/>
      <c r="U75" s="219">
        <f t="shared" si="2"/>
        <v>2000</v>
      </c>
      <c r="V75" s="219">
        <f t="shared" si="3"/>
        <v>0</v>
      </c>
    </row>
    <row r="76" spans="1:22" s="156" customFormat="1" ht="15.75" customHeight="1">
      <c r="A76" s="201" t="s">
        <v>67</v>
      </c>
      <c r="B76" s="202" t="s">
        <v>108</v>
      </c>
      <c r="C76" s="201" t="s">
        <v>114</v>
      </c>
      <c r="D76" s="203" t="s">
        <v>761</v>
      </c>
      <c r="E76" s="153"/>
      <c r="F76" s="154"/>
      <c r="G76" s="153"/>
      <c r="H76" s="155"/>
      <c r="I76" s="155"/>
      <c r="J76" s="155"/>
      <c r="K76" s="155"/>
      <c r="L76" s="154"/>
      <c r="M76" s="153"/>
      <c r="N76" s="154"/>
      <c r="O76" s="153"/>
      <c r="P76" s="154"/>
      <c r="Q76" s="153"/>
      <c r="R76" s="154"/>
      <c r="S76" s="153"/>
      <c r="T76" s="154"/>
      <c r="U76" s="219">
        <f t="shared" si="2"/>
        <v>0</v>
      </c>
      <c r="V76" s="219">
        <f t="shared" si="3"/>
        <v>0</v>
      </c>
    </row>
    <row r="77" spans="1:22" s="156" customFormat="1" ht="15.75" customHeight="1">
      <c r="A77" s="201" t="s">
        <v>67</v>
      </c>
      <c r="B77" s="202" t="s">
        <v>108</v>
      </c>
      <c r="C77" s="201" t="s">
        <v>115</v>
      </c>
      <c r="D77" s="203" t="s">
        <v>762</v>
      </c>
      <c r="E77" s="153"/>
      <c r="F77" s="154"/>
      <c r="G77" s="153"/>
      <c r="H77" s="155"/>
      <c r="I77" s="155"/>
      <c r="J77" s="155"/>
      <c r="K77" s="155"/>
      <c r="L77" s="154"/>
      <c r="M77" s="153"/>
      <c r="N77" s="154"/>
      <c r="O77" s="153"/>
      <c r="P77" s="154"/>
      <c r="Q77" s="153"/>
      <c r="R77" s="154"/>
      <c r="S77" s="153"/>
      <c r="T77" s="154"/>
      <c r="U77" s="219">
        <f t="shared" si="2"/>
        <v>0</v>
      </c>
      <c r="V77" s="219">
        <f t="shared" si="3"/>
        <v>0</v>
      </c>
    </row>
    <row r="78" spans="1:22" s="156" customFormat="1" ht="15.75" customHeight="1">
      <c r="A78" s="201" t="s">
        <v>67</v>
      </c>
      <c r="B78" s="202" t="s">
        <v>108</v>
      </c>
      <c r="C78" s="201" t="s">
        <v>116</v>
      </c>
      <c r="D78" s="203" t="s">
        <v>763</v>
      </c>
      <c r="E78" s="153">
        <v>749</v>
      </c>
      <c r="F78" s="154"/>
      <c r="G78" s="153">
        <v>900</v>
      </c>
      <c r="H78" s="155"/>
      <c r="I78" s="155">
        <v>582</v>
      </c>
      <c r="J78" s="155"/>
      <c r="K78" s="155">
        <v>873</v>
      </c>
      <c r="L78" s="154"/>
      <c r="M78" s="153">
        <f>1309*0.8</f>
        <v>1047.2</v>
      </c>
      <c r="N78" s="154"/>
      <c r="O78" s="153">
        <f>1309*0.1</f>
        <v>130.9</v>
      </c>
      <c r="P78" s="154"/>
      <c r="Q78" s="153">
        <f>1309*0.05</f>
        <v>65.45</v>
      </c>
      <c r="R78" s="154"/>
      <c r="S78" s="153">
        <f>1309*0.05</f>
        <v>65.45</v>
      </c>
      <c r="T78" s="154"/>
      <c r="U78" s="219">
        <f t="shared" si="2"/>
        <v>1309.0000000000002</v>
      </c>
      <c r="V78" s="219">
        <f t="shared" si="3"/>
        <v>0</v>
      </c>
    </row>
    <row r="79" spans="1:22" s="156" customFormat="1" ht="15.75" customHeight="1">
      <c r="A79" s="201" t="s">
        <v>67</v>
      </c>
      <c r="B79" s="202" t="s">
        <v>117</v>
      </c>
      <c r="C79" s="201" t="s">
        <v>118</v>
      </c>
      <c r="D79" s="203" t="s">
        <v>764</v>
      </c>
      <c r="E79" s="153">
        <v>2619</v>
      </c>
      <c r="F79" s="154"/>
      <c r="G79" s="153">
        <v>1200</v>
      </c>
      <c r="H79" s="155"/>
      <c r="I79" s="155">
        <v>868</v>
      </c>
      <c r="J79" s="155"/>
      <c r="K79" s="155">
        <v>1302</v>
      </c>
      <c r="L79" s="154"/>
      <c r="M79" s="153">
        <f>250*0.8</f>
        <v>200</v>
      </c>
      <c r="N79" s="154"/>
      <c r="O79" s="153">
        <f>250*0.1</f>
        <v>25</v>
      </c>
      <c r="P79" s="154"/>
      <c r="Q79" s="153">
        <f>250*0.05</f>
        <v>12.5</v>
      </c>
      <c r="R79" s="154"/>
      <c r="S79" s="153">
        <f>250*0.05</f>
        <v>12.5</v>
      </c>
      <c r="T79" s="154"/>
      <c r="U79" s="219">
        <f t="shared" si="2"/>
        <v>250</v>
      </c>
      <c r="V79" s="219">
        <f t="shared" si="3"/>
        <v>0</v>
      </c>
    </row>
    <row r="80" spans="1:22" s="156" customFormat="1" ht="15.75" customHeight="1">
      <c r="A80" s="201" t="s">
        <v>67</v>
      </c>
      <c r="B80" s="202" t="s">
        <v>117</v>
      </c>
      <c r="C80" s="201" t="s">
        <v>119</v>
      </c>
      <c r="D80" s="203" t="s">
        <v>765</v>
      </c>
      <c r="E80" s="153">
        <v>0</v>
      </c>
      <c r="F80" s="154"/>
      <c r="G80" s="153">
        <v>0</v>
      </c>
      <c r="H80" s="155"/>
      <c r="I80" s="155">
        <v>0</v>
      </c>
      <c r="J80" s="155"/>
      <c r="K80" s="155">
        <v>0</v>
      </c>
      <c r="L80" s="154"/>
      <c r="M80" s="153">
        <f>500*0.8</f>
        <v>400</v>
      </c>
      <c r="N80" s="154"/>
      <c r="O80" s="153">
        <f>500*0.1</f>
        <v>50</v>
      </c>
      <c r="P80" s="154"/>
      <c r="Q80" s="153">
        <f>500*0.05</f>
        <v>25</v>
      </c>
      <c r="R80" s="154"/>
      <c r="S80" s="153">
        <f>500*0.05</f>
        <v>25</v>
      </c>
      <c r="T80" s="154"/>
      <c r="U80" s="219">
        <f t="shared" si="2"/>
        <v>500</v>
      </c>
      <c r="V80" s="219">
        <f t="shared" si="3"/>
        <v>0</v>
      </c>
    </row>
    <row r="81" spans="1:22" s="156" customFormat="1" ht="15.75" customHeight="1">
      <c r="A81" s="201" t="s">
        <v>67</v>
      </c>
      <c r="B81" s="202" t="s">
        <v>117</v>
      </c>
      <c r="C81" s="201" t="s">
        <v>120</v>
      </c>
      <c r="D81" s="203" t="s">
        <v>766</v>
      </c>
      <c r="E81" s="153">
        <v>0</v>
      </c>
      <c r="F81" s="154"/>
      <c r="G81" s="153">
        <v>0</v>
      </c>
      <c r="H81" s="155"/>
      <c r="I81" s="155">
        <v>0</v>
      </c>
      <c r="J81" s="155"/>
      <c r="K81" s="155">
        <v>0</v>
      </c>
      <c r="L81" s="154"/>
      <c r="M81" s="153">
        <f>250*0.8</f>
        <v>200</v>
      </c>
      <c r="N81" s="154"/>
      <c r="O81" s="153">
        <f>250*0.1</f>
        <v>25</v>
      </c>
      <c r="P81" s="154"/>
      <c r="Q81" s="153">
        <f>250*0.05</f>
        <v>12.5</v>
      </c>
      <c r="R81" s="154"/>
      <c r="S81" s="153">
        <f>250*0.05</f>
        <v>12.5</v>
      </c>
      <c r="T81" s="154"/>
      <c r="U81" s="219">
        <f t="shared" si="2"/>
        <v>250</v>
      </c>
      <c r="V81" s="219">
        <f t="shared" si="3"/>
        <v>0</v>
      </c>
    </row>
    <row r="82" spans="1:22" s="156" customFormat="1" ht="15.75" customHeight="1">
      <c r="A82" s="201" t="s">
        <v>67</v>
      </c>
      <c r="B82" s="202" t="s">
        <v>117</v>
      </c>
      <c r="C82" s="201" t="s">
        <v>121</v>
      </c>
      <c r="D82" s="203" t="s">
        <v>767</v>
      </c>
      <c r="E82" s="153"/>
      <c r="F82" s="154"/>
      <c r="G82" s="153"/>
      <c r="H82" s="155"/>
      <c r="I82" s="155"/>
      <c r="J82" s="155"/>
      <c r="K82" s="155"/>
      <c r="L82" s="154"/>
      <c r="M82" s="153"/>
      <c r="N82" s="154"/>
      <c r="O82" s="153"/>
      <c r="P82" s="154"/>
      <c r="Q82" s="153"/>
      <c r="R82" s="154"/>
      <c r="S82" s="153"/>
      <c r="T82" s="154"/>
      <c r="U82" s="219">
        <f t="shared" si="2"/>
        <v>0</v>
      </c>
      <c r="V82" s="219">
        <f t="shared" si="3"/>
        <v>0</v>
      </c>
    </row>
    <row r="83" spans="1:22" s="156" customFormat="1" ht="15.75" customHeight="1">
      <c r="A83" s="201" t="s">
        <v>67</v>
      </c>
      <c r="B83" s="202" t="s">
        <v>117</v>
      </c>
      <c r="C83" s="201" t="s">
        <v>122</v>
      </c>
      <c r="D83" s="203" t="s">
        <v>768</v>
      </c>
      <c r="E83" s="153"/>
      <c r="F83" s="154"/>
      <c r="G83" s="153"/>
      <c r="H83" s="155"/>
      <c r="I83" s="155"/>
      <c r="J83" s="155"/>
      <c r="K83" s="155"/>
      <c r="L83" s="154"/>
      <c r="M83" s="153"/>
      <c r="N83" s="154"/>
      <c r="O83" s="153"/>
      <c r="P83" s="154"/>
      <c r="Q83" s="153"/>
      <c r="R83" s="154"/>
      <c r="S83" s="153"/>
      <c r="T83" s="154"/>
      <c r="U83" s="219">
        <f t="shared" si="2"/>
        <v>0</v>
      </c>
      <c r="V83" s="219">
        <f t="shared" si="3"/>
        <v>0</v>
      </c>
    </row>
    <row r="84" spans="1:22" s="156" customFormat="1" ht="15.75" customHeight="1">
      <c r="A84" s="201" t="s">
        <v>67</v>
      </c>
      <c r="B84" s="202" t="s">
        <v>117</v>
      </c>
      <c r="C84" s="201" t="s">
        <v>123</v>
      </c>
      <c r="D84" s="203" t="s">
        <v>769</v>
      </c>
      <c r="E84" s="153"/>
      <c r="F84" s="154"/>
      <c r="G84" s="153"/>
      <c r="H84" s="155"/>
      <c r="I84" s="155"/>
      <c r="J84" s="155"/>
      <c r="K84" s="155"/>
      <c r="L84" s="154"/>
      <c r="M84" s="153"/>
      <c r="N84" s="154"/>
      <c r="O84" s="153"/>
      <c r="P84" s="154"/>
      <c r="Q84" s="153"/>
      <c r="R84" s="154"/>
      <c r="S84" s="153"/>
      <c r="T84" s="154"/>
      <c r="U84" s="219">
        <f t="shared" si="2"/>
        <v>0</v>
      </c>
      <c r="V84" s="219">
        <f t="shared" si="3"/>
        <v>0</v>
      </c>
    </row>
    <row r="85" spans="1:22" s="156" customFormat="1" ht="18" customHeight="1">
      <c r="A85" s="201" t="s">
        <v>67</v>
      </c>
      <c r="B85" s="202" t="s">
        <v>117</v>
      </c>
      <c r="C85" s="207" t="s">
        <v>124</v>
      </c>
      <c r="D85" s="203" t="s">
        <v>770</v>
      </c>
      <c r="E85" s="153"/>
      <c r="F85" s="154"/>
      <c r="G85" s="153"/>
      <c r="H85" s="155"/>
      <c r="I85" s="155"/>
      <c r="J85" s="155"/>
      <c r="K85" s="155"/>
      <c r="L85" s="154"/>
      <c r="M85" s="153"/>
      <c r="N85" s="154"/>
      <c r="O85" s="153"/>
      <c r="P85" s="154"/>
      <c r="Q85" s="153"/>
      <c r="R85" s="154"/>
      <c r="S85" s="153"/>
      <c r="T85" s="154"/>
      <c r="U85" s="219">
        <f t="shared" si="2"/>
        <v>0</v>
      </c>
      <c r="V85" s="219">
        <f t="shared" si="3"/>
        <v>0</v>
      </c>
    </row>
    <row r="86" spans="1:22" s="156" customFormat="1" ht="15.75" customHeight="1">
      <c r="A86" s="201" t="s">
        <v>67</v>
      </c>
      <c r="B86" s="202" t="s">
        <v>117</v>
      </c>
      <c r="C86" s="201" t="s">
        <v>125</v>
      </c>
      <c r="D86" s="203" t="s">
        <v>771</v>
      </c>
      <c r="E86" s="153"/>
      <c r="F86" s="154"/>
      <c r="G86" s="153"/>
      <c r="H86" s="155"/>
      <c r="I86" s="155"/>
      <c r="J86" s="155"/>
      <c r="K86" s="155"/>
      <c r="L86" s="154"/>
      <c r="M86" s="153"/>
      <c r="N86" s="154"/>
      <c r="O86" s="153"/>
      <c r="P86" s="154"/>
      <c r="Q86" s="153"/>
      <c r="R86" s="154"/>
      <c r="S86" s="153"/>
      <c r="T86" s="154"/>
      <c r="U86" s="219">
        <f t="shared" si="2"/>
        <v>0</v>
      </c>
      <c r="V86" s="219">
        <f t="shared" si="3"/>
        <v>0</v>
      </c>
    </row>
    <row r="87" spans="1:22" s="156" customFormat="1" ht="15.75" customHeight="1">
      <c r="A87" s="201" t="s">
        <v>67</v>
      </c>
      <c r="B87" s="202" t="s">
        <v>117</v>
      </c>
      <c r="C87" s="201" t="s">
        <v>126</v>
      </c>
      <c r="D87" s="203" t="s">
        <v>772</v>
      </c>
      <c r="E87" s="153"/>
      <c r="F87" s="154"/>
      <c r="G87" s="153"/>
      <c r="H87" s="155"/>
      <c r="I87" s="155"/>
      <c r="J87" s="155"/>
      <c r="K87" s="155"/>
      <c r="L87" s="154"/>
      <c r="M87" s="153"/>
      <c r="N87" s="154"/>
      <c r="O87" s="153"/>
      <c r="P87" s="154"/>
      <c r="Q87" s="153"/>
      <c r="R87" s="154"/>
      <c r="S87" s="153"/>
      <c r="T87" s="154"/>
      <c r="U87" s="219">
        <f t="shared" si="2"/>
        <v>0</v>
      </c>
      <c r="V87" s="219">
        <f t="shared" si="3"/>
        <v>0</v>
      </c>
    </row>
    <row r="88" spans="1:22" s="156" customFormat="1" ht="15.75" customHeight="1">
      <c r="A88" s="201" t="s">
        <v>67</v>
      </c>
      <c r="B88" s="202" t="s">
        <v>117</v>
      </c>
      <c r="C88" s="201" t="s">
        <v>127</v>
      </c>
      <c r="D88" s="203" t="s">
        <v>773</v>
      </c>
      <c r="E88" s="153"/>
      <c r="F88" s="154"/>
      <c r="G88" s="153"/>
      <c r="H88" s="155"/>
      <c r="I88" s="155"/>
      <c r="J88" s="155"/>
      <c r="K88" s="155"/>
      <c r="L88" s="154"/>
      <c r="M88" s="153"/>
      <c r="N88" s="154"/>
      <c r="O88" s="153"/>
      <c r="P88" s="154"/>
      <c r="Q88" s="153"/>
      <c r="R88" s="154"/>
      <c r="S88" s="153"/>
      <c r="T88" s="154"/>
      <c r="U88" s="219">
        <f t="shared" si="2"/>
        <v>0</v>
      </c>
      <c r="V88" s="219">
        <f t="shared" si="3"/>
        <v>0</v>
      </c>
    </row>
    <row r="89" spans="1:22" s="156" customFormat="1" ht="15.75" customHeight="1">
      <c r="A89" s="201" t="s">
        <v>67</v>
      </c>
      <c r="B89" s="202" t="s">
        <v>117</v>
      </c>
      <c r="C89" s="201" t="s">
        <v>621</v>
      </c>
      <c r="D89" s="203" t="s">
        <v>774</v>
      </c>
      <c r="E89" s="153"/>
      <c r="F89" s="154"/>
      <c r="G89" s="153"/>
      <c r="H89" s="155"/>
      <c r="I89" s="155"/>
      <c r="J89" s="155"/>
      <c r="K89" s="155"/>
      <c r="L89" s="154"/>
      <c r="M89" s="153"/>
      <c r="N89" s="154"/>
      <c r="O89" s="153"/>
      <c r="P89" s="154"/>
      <c r="Q89" s="153"/>
      <c r="R89" s="154"/>
      <c r="S89" s="153"/>
      <c r="T89" s="154"/>
      <c r="U89" s="219">
        <f t="shared" si="2"/>
        <v>0</v>
      </c>
      <c r="V89" s="219">
        <f t="shared" si="3"/>
        <v>0</v>
      </c>
    </row>
    <row r="90" spans="1:22" s="156" customFormat="1" ht="15.75" customHeight="1">
      <c r="A90" s="201" t="s">
        <v>67</v>
      </c>
      <c r="B90" s="202" t="s">
        <v>117</v>
      </c>
      <c r="C90" s="201" t="s">
        <v>128</v>
      </c>
      <c r="D90" s="203" t="s">
        <v>775</v>
      </c>
      <c r="E90" s="153"/>
      <c r="F90" s="154"/>
      <c r="G90" s="153"/>
      <c r="H90" s="155"/>
      <c r="I90" s="155"/>
      <c r="J90" s="155"/>
      <c r="K90" s="155"/>
      <c r="L90" s="154"/>
      <c r="M90" s="153"/>
      <c r="N90" s="154"/>
      <c r="O90" s="153"/>
      <c r="P90" s="154"/>
      <c r="Q90" s="153"/>
      <c r="R90" s="154"/>
      <c r="S90" s="153"/>
      <c r="T90" s="154"/>
      <c r="U90" s="219">
        <f t="shared" si="2"/>
        <v>0</v>
      </c>
      <c r="V90" s="219">
        <f t="shared" si="3"/>
        <v>0</v>
      </c>
    </row>
    <row r="91" spans="1:22" s="156" customFormat="1" ht="15.75" customHeight="1">
      <c r="A91" s="201" t="s">
        <v>67</v>
      </c>
      <c r="B91" s="202" t="s">
        <v>117</v>
      </c>
      <c r="C91" s="201" t="s">
        <v>131</v>
      </c>
      <c r="D91" s="203" t="s">
        <v>776</v>
      </c>
      <c r="E91" s="153"/>
      <c r="F91" s="154"/>
      <c r="G91" s="153"/>
      <c r="H91" s="155"/>
      <c r="I91" s="155"/>
      <c r="J91" s="155"/>
      <c r="K91" s="155"/>
      <c r="L91" s="154"/>
      <c r="M91" s="153"/>
      <c r="N91" s="154"/>
      <c r="O91" s="153"/>
      <c r="P91" s="154"/>
      <c r="Q91" s="153"/>
      <c r="R91" s="154"/>
      <c r="S91" s="153"/>
      <c r="T91" s="154"/>
      <c r="U91" s="219">
        <f t="shared" si="2"/>
        <v>0</v>
      </c>
      <c r="V91" s="219">
        <f t="shared" si="3"/>
        <v>0</v>
      </c>
    </row>
    <row r="92" spans="1:22" s="156" customFormat="1" ht="15.75" customHeight="1">
      <c r="A92" s="201" t="s">
        <v>67</v>
      </c>
      <c r="B92" s="202" t="s">
        <v>132</v>
      </c>
      <c r="C92" s="201" t="s">
        <v>133</v>
      </c>
      <c r="D92" s="203" t="s">
        <v>777</v>
      </c>
      <c r="E92" s="153"/>
      <c r="F92" s="154"/>
      <c r="G92" s="153">
        <v>0</v>
      </c>
      <c r="H92" s="155"/>
      <c r="I92" s="155"/>
      <c r="J92" s="155"/>
      <c r="K92" s="155"/>
      <c r="L92" s="154"/>
      <c r="M92" s="153"/>
      <c r="N92" s="154"/>
      <c r="O92" s="153"/>
      <c r="P92" s="154"/>
      <c r="Q92" s="153"/>
      <c r="R92" s="154"/>
      <c r="S92" s="153"/>
      <c r="T92" s="154"/>
      <c r="U92" s="219">
        <f t="shared" si="2"/>
        <v>0</v>
      </c>
      <c r="V92" s="219">
        <f t="shared" si="3"/>
        <v>0</v>
      </c>
    </row>
    <row r="93" spans="1:22" s="156" customFormat="1" ht="15.75" customHeight="1">
      <c r="A93" s="201" t="s">
        <v>67</v>
      </c>
      <c r="B93" s="202" t="s">
        <v>132</v>
      </c>
      <c r="C93" s="202" t="s">
        <v>623</v>
      </c>
      <c r="D93" s="203" t="s">
        <v>778</v>
      </c>
      <c r="E93" s="153">
        <v>460</v>
      </c>
      <c r="F93" s="154"/>
      <c r="G93" s="153">
        <v>450</v>
      </c>
      <c r="H93" s="155"/>
      <c r="I93" s="155">
        <v>309</v>
      </c>
      <c r="J93" s="155"/>
      <c r="K93" s="155">
        <v>464</v>
      </c>
      <c r="L93" s="154"/>
      <c r="M93" s="153">
        <f>534*0.8</f>
        <v>427.20000000000005</v>
      </c>
      <c r="N93" s="154"/>
      <c r="O93" s="153">
        <f>534*0.1</f>
        <v>53.400000000000006</v>
      </c>
      <c r="P93" s="154"/>
      <c r="Q93" s="153">
        <f>534*0.05</f>
        <v>26.700000000000003</v>
      </c>
      <c r="R93" s="154"/>
      <c r="S93" s="153">
        <f>534*0.05</f>
        <v>26.700000000000003</v>
      </c>
      <c r="T93" s="154"/>
      <c r="U93" s="219">
        <f t="shared" si="2"/>
        <v>534</v>
      </c>
      <c r="V93" s="219">
        <f t="shared" si="3"/>
        <v>0</v>
      </c>
    </row>
    <row r="94" spans="1:22" s="156" customFormat="1" ht="15.75" customHeight="1">
      <c r="A94" s="201" t="s">
        <v>67</v>
      </c>
      <c r="B94" s="202" t="s">
        <v>132</v>
      </c>
      <c r="C94" s="202" t="s">
        <v>622</v>
      </c>
      <c r="D94" s="203" t="s">
        <v>779</v>
      </c>
      <c r="E94" s="153"/>
      <c r="F94" s="154"/>
      <c r="G94" s="153"/>
      <c r="H94" s="155"/>
      <c r="I94" s="155"/>
      <c r="J94" s="155"/>
      <c r="K94" s="155"/>
      <c r="L94" s="154"/>
      <c r="M94" s="153"/>
      <c r="N94" s="154"/>
      <c r="O94" s="153"/>
      <c r="P94" s="154"/>
      <c r="Q94" s="153"/>
      <c r="R94" s="154"/>
      <c r="S94" s="153"/>
      <c r="T94" s="154"/>
      <c r="U94" s="219">
        <f t="shared" si="2"/>
        <v>0</v>
      </c>
      <c r="V94" s="219">
        <f t="shared" si="3"/>
        <v>0</v>
      </c>
    </row>
    <row r="95" spans="1:22" s="156" customFormat="1" ht="15.75" customHeight="1">
      <c r="A95" s="201" t="s">
        <v>67</v>
      </c>
      <c r="B95" s="202" t="s">
        <v>132</v>
      </c>
      <c r="C95" s="201" t="s">
        <v>134</v>
      </c>
      <c r="D95" s="203" t="s">
        <v>780</v>
      </c>
      <c r="E95" s="153"/>
      <c r="F95" s="154"/>
      <c r="G95" s="153"/>
      <c r="H95" s="155"/>
      <c r="I95" s="155"/>
      <c r="J95" s="155"/>
      <c r="K95" s="155"/>
      <c r="L95" s="154"/>
      <c r="M95" s="153"/>
      <c r="N95" s="154"/>
      <c r="O95" s="153"/>
      <c r="P95" s="154"/>
      <c r="Q95" s="153"/>
      <c r="R95" s="154"/>
      <c r="S95" s="153"/>
      <c r="T95" s="154"/>
      <c r="U95" s="219">
        <f t="shared" si="2"/>
        <v>0</v>
      </c>
      <c r="V95" s="219">
        <f t="shared" si="3"/>
        <v>0</v>
      </c>
    </row>
    <row r="96" spans="1:22" s="156" customFormat="1" ht="15.75" customHeight="1">
      <c r="A96" s="201" t="s">
        <v>67</v>
      </c>
      <c r="B96" s="202" t="s">
        <v>132</v>
      </c>
      <c r="C96" s="201" t="s">
        <v>135</v>
      </c>
      <c r="D96" s="203" t="s">
        <v>781</v>
      </c>
      <c r="E96" s="153"/>
      <c r="F96" s="154"/>
      <c r="G96" s="153"/>
      <c r="H96" s="155"/>
      <c r="I96" s="155"/>
      <c r="J96" s="155"/>
      <c r="K96" s="155"/>
      <c r="L96" s="154"/>
      <c r="M96" s="153"/>
      <c r="N96" s="154"/>
      <c r="O96" s="153"/>
      <c r="P96" s="154"/>
      <c r="Q96" s="153"/>
      <c r="R96" s="154"/>
      <c r="S96" s="153"/>
      <c r="T96" s="154"/>
      <c r="U96" s="219">
        <f t="shared" si="2"/>
        <v>0</v>
      </c>
      <c r="V96" s="219">
        <f t="shared" si="3"/>
        <v>0</v>
      </c>
    </row>
    <row r="97" spans="1:22" s="156" customFormat="1" ht="15.75" customHeight="1">
      <c r="A97" s="201" t="s">
        <v>67</v>
      </c>
      <c r="B97" s="202" t="s">
        <v>136</v>
      </c>
      <c r="C97" s="201" t="s">
        <v>137</v>
      </c>
      <c r="D97" s="203" t="s">
        <v>782</v>
      </c>
      <c r="E97" s="153">
        <v>21</v>
      </c>
      <c r="F97" s="154"/>
      <c r="G97" s="153">
        <v>10</v>
      </c>
      <c r="H97" s="155"/>
      <c r="I97" s="155">
        <v>8</v>
      </c>
      <c r="J97" s="155"/>
      <c r="K97" s="155">
        <v>12</v>
      </c>
      <c r="L97" s="154"/>
      <c r="M97" s="153">
        <f>12*0.8</f>
        <v>9.6000000000000014</v>
      </c>
      <c r="N97" s="154"/>
      <c r="O97" s="153">
        <f>12*0.1</f>
        <v>1.2000000000000002</v>
      </c>
      <c r="P97" s="154"/>
      <c r="Q97" s="153">
        <f>12*0.05</f>
        <v>0.60000000000000009</v>
      </c>
      <c r="R97" s="154"/>
      <c r="S97" s="153">
        <f>12*0.05</f>
        <v>0.60000000000000009</v>
      </c>
      <c r="T97" s="154"/>
      <c r="U97" s="219">
        <f t="shared" si="2"/>
        <v>12</v>
      </c>
      <c r="V97" s="219">
        <f t="shared" si="3"/>
        <v>0</v>
      </c>
    </row>
    <row r="98" spans="1:22" s="156" customFormat="1" ht="15.75" customHeight="1">
      <c r="A98" s="201" t="s">
        <v>67</v>
      </c>
      <c r="B98" s="202" t="s">
        <v>136</v>
      </c>
      <c r="C98" s="201" t="s">
        <v>138</v>
      </c>
      <c r="D98" s="203" t="s">
        <v>783</v>
      </c>
      <c r="E98" s="153"/>
      <c r="F98" s="154"/>
      <c r="G98" s="153"/>
      <c r="H98" s="155"/>
      <c r="I98" s="155"/>
      <c r="J98" s="155"/>
      <c r="K98" s="155"/>
      <c r="L98" s="154"/>
      <c r="M98" s="153"/>
      <c r="N98" s="154"/>
      <c r="O98" s="153"/>
      <c r="P98" s="154"/>
      <c r="Q98" s="153"/>
      <c r="R98" s="154"/>
      <c r="S98" s="153"/>
      <c r="T98" s="154"/>
      <c r="U98" s="219">
        <f t="shared" si="2"/>
        <v>0</v>
      </c>
      <c r="V98" s="219">
        <f t="shared" si="3"/>
        <v>0</v>
      </c>
    </row>
    <row r="99" spans="1:22" s="156" customFormat="1" ht="15.75" customHeight="1">
      <c r="A99" s="201" t="s">
        <v>67</v>
      </c>
      <c r="B99" s="202" t="s">
        <v>136</v>
      </c>
      <c r="C99" s="201" t="s">
        <v>139</v>
      </c>
      <c r="D99" s="203" t="s">
        <v>784</v>
      </c>
      <c r="E99" s="153"/>
      <c r="F99" s="154"/>
      <c r="G99" s="153"/>
      <c r="H99" s="155"/>
      <c r="I99" s="155"/>
      <c r="J99" s="155"/>
      <c r="K99" s="155"/>
      <c r="L99" s="154"/>
      <c r="M99" s="153"/>
      <c r="N99" s="154"/>
      <c r="O99" s="153"/>
      <c r="P99" s="154"/>
      <c r="Q99" s="153"/>
      <c r="R99" s="154"/>
      <c r="S99" s="153"/>
      <c r="T99" s="154"/>
      <c r="U99" s="219">
        <f t="shared" si="2"/>
        <v>0</v>
      </c>
      <c r="V99" s="219">
        <f t="shared" si="3"/>
        <v>0</v>
      </c>
    </row>
    <row r="100" spans="1:22" s="156" customFormat="1" ht="15.75" customHeight="1">
      <c r="A100" s="201" t="s">
        <v>67</v>
      </c>
      <c r="B100" s="202" t="s">
        <v>136</v>
      </c>
      <c r="C100" s="201" t="s">
        <v>140</v>
      </c>
      <c r="D100" s="203" t="s">
        <v>785</v>
      </c>
      <c r="E100" s="153"/>
      <c r="F100" s="154"/>
      <c r="G100" s="153"/>
      <c r="H100" s="155"/>
      <c r="I100" s="155"/>
      <c r="J100" s="155"/>
      <c r="K100" s="155"/>
      <c r="L100" s="154"/>
      <c r="M100" s="153"/>
      <c r="N100" s="154"/>
      <c r="O100" s="153"/>
      <c r="P100" s="154"/>
      <c r="Q100" s="153"/>
      <c r="R100" s="154"/>
      <c r="S100" s="153"/>
      <c r="T100" s="154"/>
      <c r="U100" s="219">
        <f t="shared" si="2"/>
        <v>0</v>
      </c>
      <c r="V100" s="219">
        <f t="shared" si="3"/>
        <v>0</v>
      </c>
    </row>
    <row r="101" spans="1:22" s="156" customFormat="1" ht="15.75" customHeight="1">
      <c r="A101" s="201" t="s">
        <v>67</v>
      </c>
      <c r="B101" s="202" t="s">
        <v>136</v>
      </c>
      <c r="C101" s="201" t="s">
        <v>141</v>
      </c>
      <c r="D101" s="203" t="s">
        <v>786</v>
      </c>
      <c r="E101" s="153">
        <v>35</v>
      </c>
      <c r="F101" s="154"/>
      <c r="G101" s="153">
        <v>0</v>
      </c>
      <c r="H101" s="155"/>
      <c r="I101" s="155">
        <v>0</v>
      </c>
      <c r="J101" s="155"/>
      <c r="K101" s="155">
        <v>0</v>
      </c>
      <c r="L101" s="154"/>
      <c r="M101" s="153">
        <f>1000*0.08</f>
        <v>80</v>
      </c>
      <c r="N101" s="154"/>
      <c r="O101" s="153">
        <f>1000*0.1</f>
        <v>100</v>
      </c>
      <c r="P101" s="154"/>
      <c r="Q101" s="153">
        <f>1000*0.05</f>
        <v>50</v>
      </c>
      <c r="R101" s="154"/>
      <c r="S101" s="153">
        <f>1000*0.05</f>
        <v>50</v>
      </c>
      <c r="T101" s="154"/>
      <c r="U101" s="219">
        <f t="shared" si="2"/>
        <v>280</v>
      </c>
      <c r="V101" s="219">
        <f t="shared" si="3"/>
        <v>0</v>
      </c>
    </row>
    <row r="102" spans="1:22" s="156" customFormat="1" ht="15.75" customHeight="1">
      <c r="A102" s="201" t="s">
        <v>67</v>
      </c>
      <c r="B102" s="202" t="s">
        <v>142</v>
      </c>
      <c r="C102" s="201" t="s">
        <v>143</v>
      </c>
      <c r="D102" s="203" t="s">
        <v>787</v>
      </c>
      <c r="E102" s="153">
        <v>137</v>
      </c>
      <c r="F102" s="154"/>
      <c r="G102" s="153">
        <v>400</v>
      </c>
      <c r="H102" s="155"/>
      <c r="I102" s="155">
        <v>211</v>
      </c>
      <c r="J102" s="155"/>
      <c r="K102" s="155">
        <v>423</v>
      </c>
      <c r="L102" s="154"/>
      <c r="M102" s="153"/>
      <c r="N102" s="154"/>
      <c r="O102" s="153"/>
      <c r="P102" s="154"/>
      <c r="Q102" s="153"/>
      <c r="R102" s="154"/>
      <c r="S102" s="153"/>
      <c r="T102" s="154"/>
      <c r="U102" s="219">
        <f t="shared" si="2"/>
        <v>0</v>
      </c>
      <c r="V102" s="219">
        <f t="shared" si="3"/>
        <v>0</v>
      </c>
    </row>
    <row r="103" spans="1:22" s="156" customFormat="1" ht="15.75" customHeight="1">
      <c r="A103" s="201" t="s">
        <v>67</v>
      </c>
      <c r="B103" s="202" t="s">
        <v>142</v>
      </c>
      <c r="C103" s="201" t="s">
        <v>144</v>
      </c>
      <c r="D103" s="203" t="s">
        <v>788</v>
      </c>
      <c r="E103" s="153">
        <v>666</v>
      </c>
      <c r="F103" s="154"/>
      <c r="G103" s="153">
        <v>2800</v>
      </c>
      <c r="H103" s="155"/>
      <c r="I103" s="155">
        <v>1611</v>
      </c>
      <c r="J103" s="155"/>
      <c r="K103" s="155">
        <v>2762</v>
      </c>
      <c r="L103" s="154"/>
      <c r="M103" s="153"/>
      <c r="N103" s="154"/>
      <c r="O103" s="153"/>
      <c r="P103" s="154"/>
      <c r="Q103" s="153"/>
      <c r="R103" s="154"/>
      <c r="S103" s="153"/>
      <c r="T103" s="154"/>
      <c r="U103" s="219">
        <f t="shared" si="2"/>
        <v>0</v>
      </c>
      <c r="V103" s="219">
        <f t="shared" si="3"/>
        <v>0</v>
      </c>
    </row>
    <row r="104" spans="1:22" s="156" customFormat="1" ht="15.75" customHeight="1">
      <c r="A104" s="201" t="s">
        <v>67</v>
      </c>
      <c r="B104" s="202" t="s">
        <v>142</v>
      </c>
      <c r="C104" s="201" t="s">
        <v>145</v>
      </c>
      <c r="D104" s="203" t="s">
        <v>789</v>
      </c>
      <c r="E104" s="153">
        <v>80</v>
      </c>
      <c r="F104" s="154"/>
      <c r="G104" s="153">
        <v>450</v>
      </c>
      <c r="H104" s="155"/>
      <c r="I104" s="155">
        <v>221</v>
      </c>
      <c r="J104" s="155"/>
      <c r="K104" s="155">
        <v>442</v>
      </c>
      <c r="L104" s="154"/>
      <c r="M104" s="153"/>
      <c r="N104" s="154"/>
      <c r="O104" s="153"/>
      <c r="P104" s="154"/>
      <c r="Q104" s="153"/>
      <c r="R104" s="154"/>
      <c r="S104" s="153"/>
      <c r="T104" s="154"/>
      <c r="U104" s="219">
        <f t="shared" si="2"/>
        <v>0</v>
      </c>
      <c r="V104" s="219">
        <f t="shared" si="3"/>
        <v>0</v>
      </c>
    </row>
    <row r="105" spans="1:22" s="156" customFormat="1" ht="15.75" customHeight="1">
      <c r="A105" s="201" t="s">
        <v>67</v>
      </c>
      <c r="B105" s="202" t="s">
        <v>142</v>
      </c>
      <c r="C105" s="201" t="s">
        <v>146</v>
      </c>
      <c r="D105" s="203" t="s">
        <v>790</v>
      </c>
      <c r="E105" s="153"/>
      <c r="F105" s="154"/>
      <c r="G105" s="153"/>
      <c r="H105" s="155"/>
      <c r="I105" s="155"/>
      <c r="J105" s="155"/>
      <c r="K105" s="155"/>
      <c r="L105" s="154"/>
      <c r="M105" s="153"/>
      <c r="N105" s="154"/>
      <c r="O105" s="153"/>
      <c r="P105" s="154"/>
      <c r="Q105" s="153"/>
      <c r="R105" s="154"/>
      <c r="S105" s="153"/>
      <c r="T105" s="154"/>
      <c r="U105" s="219">
        <f t="shared" si="2"/>
        <v>0</v>
      </c>
      <c r="V105" s="219">
        <f t="shared" si="3"/>
        <v>0</v>
      </c>
    </row>
    <row r="106" spans="1:22" s="156" customFormat="1" ht="15.75" customHeight="1">
      <c r="A106" s="201" t="s">
        <v>67</v>
      </c>
      <c r="B106" s="202" t="s">
        <v>142</v>
      </c>
      <c r="C106" s="201" t="s">
        <v>147</v>
      </c>
      <c r="D106" s="203">
        <v>1021005</v>
      </c>
      <c r="E106" s="153">
        <v>41</v>
      </c>
      <c r="F106" s="154"/>
      <c r="G106" s="153">
        <f>88</f>
        <v>88</v>
      </c>
      <c r="H106" s="155"/>
      <c r="I106" s="155">
        <f>15</f>
        <v>15</v>
      </c>
      <c r="J106" s="155"/>
      <c r="K106" s="155">
        <f>88</f>
        <v>88</v>
      </c>
      <c r="L106" s="154"/>
      <c r="M106" s="153">
        <f>101</f>
        <v>101</v>
      </c>
      <c r="N106" s="154"/>
      <c r="O106" s="153"/>
      <c r="P106" s="154"/>
      <c r="Q106" s="153"/>
      <c r="R106" s="154"/>
      <c r="S106" s="153"/>
      <c r="T106" s="154"/>
      <c r="U106" s="219">
        <f t="shared" si="2"/>
        <v>101</v>
      </c>
      <c r="V106" s="219">
        <f t="shared" si="3"/>
        <v>0</v>
      </c>
    </row>
    <row r="107" spans="1:22" s="156" customFormat="1" ht="15.75" customHeight="1">
      <c r="A107" s="201" t="s">
        <v>67</v>
      </c>
      <c r="B107" s="202" t="s">
        <v>142</v>
      </c>
      <c r="C107" s="201" t="s">
        <v>148</v>
      </c>
      <c r="D107" s="203" t="s">
        <v>791</v>
      </c>
      <c r="E107" s="153"/>
      <c r="F107" s="154"/>
      <c r="G107" s="153"/>
      <c r="H107" s="155"/>
      <c r="I107" s="155"/>
      <c r="J107" s="155"/>
      <c r="K107" s="155"/>
      <c r="L107" s="154"/>
      <c r="M107" s="153"/>
      <c r="N107" s="154"/>
      <c r="O107" s="153"/>
      <c r="P107" s="154"/>
      <c r="Q107" s="153"/>
      <c r="R107" s="154"/>
      <c r="S107" s="153"/>
      <c r="T107" s="154"/>
      <c r="U107" s="219">
        <f t="shared" si="2"/>
        <v>0</v>
      </c>
      <c r="V107" s="219">
        <f t="shared" si="3"/>
        <v>0</v>
      </c>
    </row>
    <row r="108" spans="1:22" s="156" customFormat="1" ht="15.75" customHeight="1">
      <c r="A108" s="201" t="s">
        <v>67</v>
      </c>
      <c r="B108" s="202" t="s">
        <v>142</v>
      </c>
      <c r="C108" s="201" t="s">
        <v>149</v>
      </c>
      <c r="D108" s="203" t="s">
        <v>792</v>
      </c>
      <c r="E108" s="153">
        <v>131</v>
      </c>
      <c r="F108" s="154"/>
      <c r="G108" s="153">
        <v>110</v>
      </c>
      <c r="H108" s="155"/>
      <c r="I108" s="155">
        <v>77</v>
      </c>
      <c r="J108" s="155"/>
      <c r="K108" s="155">
        <v>116</v>
      </c>
      <c r="L108" s="154"/>
      <c r="M108" s="153"/>
      <c r="N108" s="154"/>
      <c r="O108" s="153"/>
      <c r="P108" s="154"/>
      <c r="Q108" s="153"/>
      <c r="R108" s="154"/>
      <c r="S108" s="153"/>
      <c r="T108" s="154"/>
      <c r="U108" s="219">
        <f t="shared" si="2"/>
        <v>0</v>
      </c>
      <c r="V108" s="219">
        <f t="shared" si="3"/>
        <v>0</v>
      </c>
    </row>
    <row r="109" spans="1:22" s="156" customFormat="1" ht="15.75" customHeight="1">
      <c r="A109" s="201" t="s">
        <v>67</v>
      </c>
      <c r="B109" s="202" t="s">
        <v>142</v>
      </c>
      <c r="C109" s="201" t="s">
        <v>150</v>
      </c>
      <c r="D109" s="203" t="s">
        <v>793</v>
      </c>
      <c r="E109" s="153">
        <v>124</v>
      </c>
      <c r="F109" s="154"/>
      <c r="G109" s="153">
        <f>62</f>
        <v>62</v>
      </c>
      <c r="H109" s="155"/>
      <c r="I109" s="155">
        <f>42</f>
        <v>42</v>
      </c>
      <c r="J109" s="155"/>
      <c r="K109" s="155">
        <f>63</f>
        <v>63</v>
      </c>
      <c r="L109" s="154"/>
      <c r="M109" s="153">
        <f>72</f>
        <v>72</v>
      </c>
      <c r="N109" s="154"/>
      <c r="O109" s="153"/>
      <c r="P109" s="154"/>
      <c r="Q109" s="153"/>
      <c r="R109" s="154"/>
      <c r="S109" s="153"/>
      <c r="T109" s="154"/>
      <c r="U109" s="219">
        <f t="shared" si="2"/>
        <v>72</v>
      </c>
      <c r="V109" s="219">
        <f t="shared" si="3"/>
        <v>0</v>
      </c>
    </row>
    <row r="110" spans="1:22" s="156" customFormat="1" ht="15.75" customHeight="1">
      <c r="A110" s="201" t="s">
        <v>67</v>
      </c>
      <c r="B110" s="202" t="s">
        <v>151</v>
      </c>
      <c r="C110" s="201" t="s">
        <v>152</v>
      </c>
      <c r="D110" s="203" t="s">
        <v>794</v>
      </c>
      <c r="E110" s="153">
        <f>1382+7</f>
        <v>1389</v>
      </c>
      <c r="F110" s="154"/>
      <c r="G110" s="153">
        <v>2200</v>
      </c>
      <c r="H110" s="155"/>
      <c r="I110" s="155">
        <v>1484</v>
      </c>
      <c r="J110" s="155"/>
      <c r="K110" s="155">
        <v>2226</v>
      </c>
      <c r="L110" s="154"/>
      <c r="M110" s="153">
        <f>2338*0.8</f>
        <v>1870.4</v>
      </c>
      <c r="N110" s="154"/>
      <c r="O110" s="153">
        <f>2338*0.1</f>
        <v>233.8</v>
      </c>
      <c r="P110" s="154"/>
      <c r="Q110" s="153">
        <f>2338*0.05</f>
        <v>116.9</v>
      </c>
      <c r="R110" s="154"/>
      <c r="S110" s="153">
        <f>2338*0.05</f>
        <v>116.9</v>
      </c>
      <c r="T110" s="154"/>
      <c r="U110" s="219">
        <f t="shared" si="2"/>
        <v>2338.0000000000005</v>
      </c>
      <c r="V110" s="219">
        <f t="shared" si="3"/>
        <v>0</v>
      </c>
    </row>
    <row r="111" spans="1:22" s="156" customFormat="1" ht="15.75" customHeight="1">
      <c r="A111" s="201" t="s">
        <v>67</v>
      </c>
      <c r="B111" s="202" t="s">
        <v>151</v>
      </c>
      <c r="C111" s="201" t="s">
        <v>129</v>
      </c>
      <c r="D111" s="203" t="s">
        <v>795</v>
      </c>
      <c r="E111" s="153"/>
      <c r="F111" s="154"/>
      <c r="G111" s="153"/>
      <c r="H111" s="155"/>
      <c r="I111" s="155"/>
      <c r="J111" s="155"/>
      <c r="K111" s="155"/>
      <c r="L111" s="154"/>
      <c r="M111" s="153"/>
      <c r="N111" s="154"/>
      <c r="O111" s="153"/>
      <c r="P111" s="154"/>
      <c r="Q111" s="153"/>
      <c r="R111" s="154"/>
      <c r="S111" s="153"/>
      <c r="T111" s="154"/>
      <c r="U111" s="219">
        <f t="shared" si="2"/>
        <v>0</v>
      </c>
      <c r="V111" s="219">
        <f t="shared" si="3"/>
        <v>0</v>
      </c>
    </row>
    <row r="112" spans="1:22" s="156" customFormat="1" ht="15.75" customHeight="1">
      <c r="A112" s="201" t="s">
        <v>67</v>
      </c>
      <c r="B112" s="202" t="s">
        <v>151</v>
      </c>
      <c r="C112" s="201" t="s">
        <v>130</v>
      </c>
      <c r="D112" s="203" t="s">
        <v>796</v>
      </c>
      <c r="E112" s="153"/>
      <c r="F112" s="154"/>
      <c r="G112" s="153"/>
      <c r="H112" s="155"/>
      <c r="I112" s="155"/>
      <c r="J112" s="155"/>
      <c r="K112" s="155"/>
      <c r="L112" s="154"/>
      <c r="M112" s="153"/>
      <c r="N112" s="154"/>
      <c r="O112" s="153"/>
      <c r="P112" s="154"/>
      <c r="Q112" s="153"/>
      <c r="R112" s="154"/>
      <c r="S112" s="153"/>
      <c r="T112" s="154"/>
      <c r="U112" s="219">
        <f t="shared" si="2"/>
        <v>0</v>
      </c>
      <c r="V112" s="219">
        <f t="shared" si="3"/>
        <v>0</v>
      </c>
    </row>
    <row r="113" spans="1:22" s="156" customFormat="1" ht="15.75" customHeight="1">
      <c r="A113" s="201" t="s">
        <v>67</v>
      </c>
      <c r="B113" s="202" t="s">
        <v>151</v>
      </c>
      <c r="C113" s="201" t="s">
        <v>153</v>
      </c>
      <c r="D113" s="203" t="s">
        <v>797</v>
      </c>
      <c r="E113" s="153"/>
      <c r="F113" s="154"/>
      <c r="G113" s="153"/>
      <c r="H113" s="155"/>
      <c r="I113" s="155"/>
      <c r="J113" s="155"/>
      <c r="K113" s="155"/>
      <c r="L113" s="154"/>
      <c r="M113" s="153"/>
      <c r="N113" s="154"/>
      <c r="O113" s="153"/>
      <c r="P113" s="154"/>
      <c r="Q113" s="153"/>
      <c r="R113" s="154"/>
      <c r="S113" s="153"/>
      <c r="T113" s="154"/>
      <c r="U113" s="219">
        <f t="shared" si="2"/>
        <v>0</v>
      </c>
      <c r="V113" s="219">
        <f t="shared" si="3"/>
        <v>0</v>
      </c>
    </row>
    <row r="114" spans="1:22" s="156" customFormat="1" ht="15.75" customHeight="1">
      <c r="A114" s="201" t="s">
        <v>67</v>
      </c>
      <c r="B114" s="202" t="s">
        <v>151</v>
      </c>
      <c r="C114" s="201" t="s">
        <v>154</v>
      </c>
      <c r="D114" s="203" t="s">
        <v>798</v>
      </c>
      <c r="E114" s="153">
        <v>43</v>
      </c>
      <c r="F114" s="154"/>
      <c r="G114" s="153">
        <f>150</f>
        <v>150</v>
      </c>
      <c r="H114" s="155"/>
      <c r="I114" s="155">
        <f>105</f>
        <v>105</v>
      </c>
      <c r="J114" s="155"/>
      <c r="K114" s="155">
        <f>158</f>
        <v>158</v>
      </c>
      <c r="L114" s="154"/>
      <c r="M114" s="153"/>
      <c r="N114" s="154"/>
      <c r="O114" s="153"/>
      <c r="P114" s="154"/>
      <c r="Q114" s="153"/>
      <c r="R114" s="154"/>
      <c r="S114" s="153"/>
      <c r="T114" s="154"/>
      <c r="U114" s="219">
        <f t="shared" si="2"/>
        <v>0</v>
      </c>
      <c r="V114" s="219">
        <f t="shared" si="3"/>
        <v>0</v>
      </c>
    </row>
    <row r="115" spans="1:22" s="156" customFormat="1" ht="15.75" customHeight="1">
      <c r="A115" s="201" t="s">
        <v>67</v>
      </c>
      <c r="B115" s="202" t="s">
        <v>151</v>
      </c>
      <c r="C115" s="201" t="s">
        <v>155</v>
      </c>
      <c r="D115" s="203" t="s">
        <v>799</v>
      </c>
      <c r="E115" s="153">
        <v>0</v>
      </c>
      <c r="F115" s="154"/>
      <c r="G115" s="153"/>
      <c r="H115" s="155"/>
      <c r="I115" s="155"/>
      <c r="J115" s="155"/>
      <c r="K115" s="155"/>
      <c r="L115" s="154"/>
      <c r="M115" s="153"/>
      <c r="N115" s="154"/>
      <c r="O115" s="153"/>
      <c r="P115" s="154"/>
      <c r="Q115" s="153"/>
      <c r="R115" s="154"/>
      <c r="S115" s="153"/>
      <c r="T115" s="154"/>
      <c r="U115" s="219">
        <f t="shared" si="2"/>
        <v>0</v>
      </c>
      <c r="V115" s="219">
        <f t="shared" si="3"/>
        <v>0</v>
      </c>
    </row>
    <row r="116" spans="1:22" s="156" customFormat="1" ht="15.75" customHeight="1">
      <c r="A116" s="201" t="s">
        <v>67</v>
      </c>
      <c r="B116" s="202" t="s">
        <v>151</v>
      </c>
      <c r="C116" s="201" t="s">
        <v>156</v>
      </c>
      <c r="D116" s="203" t="s">
        <v>800</v>
      </c>
      <c r="E116" s="153"/>
      <c r="F116" s="154"/>
      <c r="G116" s="153"/>
      <c r="H116" s="155"/>
      <c r="I116" s="155"/>
      <c r="J116" s="155"/>
      <c r="K116" s="155"/>
      <c r="L116" s="154"/>
      <c r="M116" s="153"/>
      <c r="N116" s="154"/>
      <c r="O116" s="153"/>
      <c r="P116" s="154"/>
      <c r="Q116" s="153"/>
      <c r="R116" s="154"/>
      <c r="S116" s="153"/>
      <c r="T116" s="154"/>
      <c r="U116" s="219">
        <f t="shared" si="2"/>
        <v>0</v>
      </c>
      <c r="V116" s="219">
        <f t="shared" si="3"/>
        <v>0</v>
      </c>
    </row>
    <row r="117" spans="1:22" s="156" customFormat="1" ht="15.75" customHeight="1">
      <c r="A117" s="201" t="s">
        <v>67</v>
      </c>
      <c r="B117" s="202" t="s">
        <v>151</v>
      </c>
      <c r="C117" s="201" t="s">
        <v>157</v>
      </c>
      <c r="D117" s="203" t="s">
        <v>801</v>
      </c>
      <c r="E117" s="153"/>
      <c r="F117" s="154"/>
      <c r="G117" s="153"/>
      <c r="H117" s="155"/>
      <c r="I117" s="155"/>
      <c r="J117" s="155"/>
      <c r="K117" s="155"/>
      <c r="L117" s="154"/>
      <c r="M117" s="153"/>
      <c r="N117" s="154"/>
      <c r="O117" s="153"/>
      <c r="P117" s="154"/>
      <c r="Q117" s="153"/>
      <c r="R117" s="154"/>
      <c r="S117" s="153"/>
      <c r="T117" s="154"/>
      <c r="U117" s="219">
        <f t="shared" si="2"/>
        <v>0</v>
      </c>
      <c r="V117" s="219">
        <f t="shared" si="3"/>
        <v>0</v>
      </c>
    </row>
    <row r="118" spans="1:22" s="156" customFormat="1" ht="15.75" customHeight="1">
      <c r="A118" s="201" t="s">
        <v>67</v>
      </c>
      <c r="B118" s="202" t="s">
        <v>151</v>
      </c>
      <c r="C118" s="201" t="s">
        <v>158</v>
      </c>
      <c r="D118" s="203" t="s">
        <v>802</v>
      </c>
      <c r="E118" s="153"/>
      <c r="F118" s="154"/>
      <c r="G118" s="153"/>
      <c r="H118" s="155"/>
      <c r="I118" s="155"/>
      <c r="J118" s="155"/>
      <c r="K118" s="155"/>
      <c r="L118" s="154"/>
      <c r="M118" s="153"/>
      <c r="N118" s="154"/>
      <c r="O118" s="153"/>
      <c r="P118" s="154"/>
      <c r="Q118" s="153"/>
      <c r="R118" s="154"/>
      <c r="S118" s="153"/>
      <c r="T118" s="154"/>
      <c r="U118" s="219">
        <f t="shared" si="2"/>
        <v>0</v>
      </c>
      <c r="V118" s="219">
        <f t="shared" si="3"/>
        <v>0</v>
      </c>
    </row>
    <row r="119" spans="1:22" s="156" customFormat="1" ht="15.75" customHeight="1">
      <c r="A119" s="201" t="s">
        <v>67</v>
      </c>
      <c r="B119" s="202" t="s">
        <v>151</v>
      </c>
      <c r="C119" s="201" t="s">
        <v>159</v>
      </c>
      <c r="D119" s="203" t="s">
        <v>803</v>
      </c>
      <c r="E119" s="153"/>
      <c r="F119" s="154"/>
      <c r="G119" s="153"/>
      <c r="H119" s="155"/>
      <c r="I119" s="155"/>
      <c r="J119" s="155"/>
      <c r="K119" s="155"/>
      <c r="L119" s="154"/>
      <c r="M119" s="153"/>
      <c r="N119" s="154"/>
      <c r="O119" s="153"/>
      <c r="P119" s="154"/>
      <c r="Q119" s="153"/>
      <c r="R119" s="154"/>
      <c r="S119" s="153"/>
      <c r="T119" s="154"/>
      <c r="U119" s="219">
        <f t="shared" si="2"/>
        <v>0</v>
      </c>
      <c r="V119" s="219">
        <f t="shared" si="3"/>
        <v>0</v>
      </c>
    </row>
    <row r="120" spans="1:22" s="156" customFormat="1" ht="15.75" customHeight="1">
      <c r="A120" s="201" t="s">
        <v>67</v>
      </c>
      <c r="B120" s="202" t="s">
        <v>151</v>
      </c>
      <c r="C120" s="201" t="s">
        <v>160</v>
      </c>
      <c r="D120" s="203" t="s">
        <v>804</v>
      </c>
      <c r="E120" s="153">
        <v>506</v>
      </c>
      <c r="F120" s="154"/>
      <c r="G120" s="153">
        <f>80+50</f>
        <v>130</v>
      </c>
      <c r="H120" s="155"/>
      <c r="I120" s="155">
        <f>51+36</f>
        <v>87</v>
      </c>
      <c r="J120" s="155"/>
      <c r="K120" s="155">
        <f>77+54</f>
        <v>131</v>
      </c>
      <c r="L120" s="154"/>
      <c r="M120" s="153">
        <v>56</v>
      </c>
      <c r="N120" s="154"/>
      <c r="O120" s="153"/>
      <c r="P120" s="154"/>
      <c r="Q120" s="153"/>
      <c r="R120" s="154"/>
      <c r="S120" s="153"/>
      <c r="T120" s="154"/>
      <c r="U120" s="219">
        <f t="shared" si="2"/>
        <v>56</v>
      </c>
      <c r="V120" s="219">
        <f t="shared" si="3"/>
        <v>0</v>
      </c>
    </row>
    <row r="121" spans="1:22" s="156" customFormat="1" ht="15.75" customHeight="1">
      <c r="A121" s="201" t="s">
        <v>67</v>
      </c>
      <c r="B121" s="202" t="s">
        <v>161</v>
      </c>
      <c r="C121" s="201" t="s">
        <v>162</v>
      </c>
      <c r="D121" s="203" t="s">
        <v>805</v>
      </c>
      <c r="E121" s="153">
        <v>7377</v>
      </c>
      <c r="F121" s="154"/>
      <c r="G121" s="153">
        <f>8000+1000</f>
        <v>9000</v>
      </c>
      <c r="H121" s="155"/>
      <c r="I121" s="155">
        <f>2660+665</f>
        <v>3325</v>
      </c>
      <c r="J121" s="155"/>
      <c r="K121" s="155">
        <f>3989+997</f>
        <v>4986</v>
      </c>
      <c r="L121" s="154"/>
      <c r="M121" s="153">
        <f>14306</f>
        <v>14306</v>
      </c>
      <c r="N121" s="154"/>
      <c r="O121" s="153">
        <f>1496</f>
        <v>1496</v>
      </c>
      <c r="P121" s="154"/>
      <c r="Q121" s="153"/>
      <c r="R121" s="154"/>
      <c r="S121" s="153"/>
      <c r="T121" s="154"/>
      <c r="U121" s="219">
        <f t="shared" si="2"/>
        <v>15802</v>
      </c>
      <c r="V121" s="219">
        <f t="shared" si="3"/>
        <v>0</v>
      </c>
    </row>
    <row r="122" spans="1:22" s="156" customFormat="1" ht="15.75" customHeight="1">
      <c r="A122" s="201" t="s">
        <v>67</v>
      </c>
      <c r="B122" s="202" t="s">
        <v>161</v>
      </c>
      <c r="C122" s="201" t="s">
        <v>163</v>
      </c>
      <c r="D122" s="203" t="s">
        <v>806</v>
      </c>
      <c r="E122" s="153">
        <v>0</v>
      </c>
      <c r="F122" s="154"/>
      <c r="G122" s="153">
        <v>0</v>
      </c>
      <c r="H122" s="155"/>
      <c r="I122" s="155">
        <v>0</v>
      </c>
      <c r="J122" s="155"/>
      <c r="K122" s="155">
        <v>0</v>
      </c>
      <c r="L122" s="154"/>
      <c r="M122" s="153">
        <f>250*0.8</f>
        <v>200</v>
      </c>
      <c r="N122" s="154"/>
      <c r="O122" s="153">
        <f>250*0.1</f>
        <v>25</v>
      </c>
      <c r="P122" s="154"/>
      <c r="Q122" s="153">
        <f>250*0.05</f>
        <v>12.5</v>
      </c>
      <c r="R122" s="154"/>
      <c r="S122" s="153">
        <f>250*0.05</f>
        <v>12.5</v>
      </c>
      <c r="T122" s="154"/>
      <c r="U122" s="219">
        <f t="shared" si="2"/>
        <v>250</v>
      </c>
      <c r="V122" s="219">
        <f t="shared" si="3"/>
        <v>0</v>
      </c>
    </row>
    <row r="123" spans="1:22" s="156" customFormat="1" ht="15.75" customHeight="1">
      <c r="A123" s="201" t="s">
        <v>67</v>
      </c>
      <c r="B123" s="202" t="s">
        <v>161</v>
      </c>
      <c r="C123" s="201" t="s">
        <v>164</v>
      </c>
      <c r="D123" s="203" t="s">
        <v>807</v>
      </c>
      <c r="E123" s="153"/>
      <c r="F123" s="154"/>
      <c r="G123" s="153"/>
      <c r="H123" s="155"/>
      <c r="I123" s="155"/>
      <c r="J123" s="155"/>
      <c r="K123" s="155"/>
      <c r="L123" s="154"/>
      <c r="M123" s="153"/>
      <c r="N123" s="154"/>
      <c r="O123" s="153"/>
      <c r="P123" s="154"/>
      <c r="Q123" s="153"/>
      <c r="R123" s="154"/>
      <c r="S123" s="153"/>
      <c r="T123" s="154"/>
      <c r="U123" s="219">
        <f t="shared" si="2"/>
        <v>0</v>
      </c>
      <c r="V123" s="219">
        <f t="shared" si="3"/>
        <v>0</v>
      </c>
    </row>
    <row r="124" spans="1:22" s="156" customFormat="1" ht="15.75" customHeight="1">
      <c r="A124" s="201" t="s">
        <v>67</v>
      </c>
      <c r="B124" s="202" t="s">
        <v>161</v>
      </c>
      <c r="C124" s="201" t="s">
        <v>624</v>
      </c>
      <c r="D124" s="203" t="s">
        <v>808</v>
      </c>
      <c r="E124" s="153"/>
      <c r="F124" s="154"/>
      <c r="G124" s="153"/>
      <c r="H124" s="155"/>
      <c r="I124" s="155"/>
      <c r="J124" s="155"/>
      <c r="K124" s="155"/>
      <c r="L124" s="154"/>
      <c r="M124" s="153"/>
      <c r="N124" s="154"/>
      <c r="O124" s="153"/>
      <c r="P124" s="154"/>
      <c r="Q124" s="153"/>
      <c r="R124" s="154"/>
      <c r="S124" s="153"/>
      <c r="T124" s="154"/>
      <c r="U124" s="219">
        <f t="shared" si="2"/>
        <v>0</v>
      </c>
      <c r="V124" s="219">
        <f t="shared" si="3"/>
        <v>0</v>
      </c>
    </row>
    <row r="125" spans="1:22" s="156" customFormat="1" ht="15.75" customHeight="1">
      <c r="A125" s="201" t="s">
        <v>67</v>
      </c>
      <c r="B125" s="202" t="s">
        <v>161</v>
      </c>
      <c r="C125" s="201" t="s">
        <v>165</v>
      </c>
      <c r="D125" s="203" t="s">
        <v>809</v>
      </c>
      <c r="E125" s="153"/>
      <c r="F125" s="154"/>
      <c r="G125" s="153"/>
      <c r="H125" s="155"/>
      <c r="I125" s="155"/>
      <c r="J125" s="155"/>
      <c r="K125" s="155"/>
      <c r="L125" s="154"/>
      <c r="M125" s="153"/>
      <c r="N125" s="154"/>
      <c r="O125" s="153"/>
      <c r="P125" s="154"/>
      <c r="Q125" s="153"/>
      <c r="R125" s="154"/>
      <c r="S125" s="153"/>
      <c r="T125" s="154"/>
      <c r="U125" s="219">
        <f t="shared" si="2"/>
        <v>0</v>
      </c>
      <c r="V125" s="219">
        <f t="shared" si="3"/>
        <v>0</v>
      </c>
    </row>
    <row r="126" spans="1:22" s="156" customFormat="1" ht="15.75" customHeight="1">
      <c r="A126" s="201" t="s">
        <v>67</v>
      </c>
      <c r="B126" s="202" t="s">
        <v>161</v>
      </c>
      <c r="C126" s="201" t="s">
        <v>166</v>
      </c>
      <c r="D126" s="203" t="s">
        <v>810</v>
      </c>
      <c r="E126" s="153"/>
      <c r="F126" s="154"/>
      <c r="G126" s="153"/>
      <c r="H126" s="155"/>
      <c r="I126" s="155"/>
      <c r="J126" s="155"/>
      <c r="K126" s="155"/>
      <c r="L126" s="154"/>
      <c r="M126" s="153"/>
      <c r="N126" s="154"/>
      <c r="O126" s="153"/>
      <c r="P126" s="154"/>
      <c r="Q126" s="153"/>
      <c r="R126" s="154"/>
      <c r="S126" s="153"/>
      <c r="T126" s="154"/>
      <c r="U126" s="219">
        <f t="shared" si="2"/>
        <v>0</v>
      </c>
      <c r="V126" s="219">
        <f t="shared" si="3"/>
        <v>0</v>
      </c>
    </row>
    <row r="127" spans="1:22" s="156" customFormat="1" ht="15.75" customHeight="1">
      <c r="A127" s="201" t="s">
        <v>67</v>
      </c>
      <c r="B127" s="202" t="s">
        <v>161</v>
      </c>
      <c r="C127" s="201" t="s">
        <v>167</v>
      </c>
      <c r="D127" s="203" t="s">
        <v>811</v>
      </c>
      <c r="E127" s="153"/>
      <c r="F127" s="154"/>
      <c r="G127" s="153"/>
      <c r="H127" s="155"/>
      <c r="I127" s="155"/>
      <c r="J127" s="155"/>
      <c r="K127" s="155"/>
      <c r="L127" s="154"/>
      <c r="M127" s="153"/>
      <c r="N127" s="154"/>
      <c r="O127" s="153"/>
      <c r="P127" s="154"/>
      <c r="Q127" s="153"/>
      <c r="R127" s="154"/>
      <c r="S127" s="153"/>
      <c r="T127" s="154"/>
      <c r="U127" s="219">
        <f t="shared" si="2"/>
        <v>0</v>
      </c>
      <c r="V127" s="219">
        <f t="shared" si="3"/>
        <v>0</v>
      </c>
    </row>
    <row r="128" spans="1:22" s="156" customFormat="1" ht="15.75" customHeight="1">
      <c r="A128" s="201" t="s">
        <v>67</v>
      </c>
      <c r="B128" s="202" t="s">
        <v>168</v>
      </c>
      <c r="C128" s="201" t="s">
        <v>169</v>
      </c>
      <c r="D128" s="203" t="s">
        <v>812</v>
      </c>
      <c r="E128" s="153"/>
      <c r="F128" s="154"/>
      <c r="G128" s="153"/>
      <c r="H128" s="155"/>
      <c r="I128" s="155"/>
      <c r="J128" s="155"/>
      <c r="K128" s="155"/>
      <c r="L128" s="154"/>
      <c r="M128" s="153"/>
      <c r="N128" s="154"/>
      <c r="O128" s="153"/>
      <c r="P128" s="154"/>
      <c r="Q128" s="153"/>
      <c r="R128" s="154"/>
      <c r="S128" s="153"/>
      <c r="T128" s="154"/>
      <c r="U128" s="219">
        <f t="shared" si="2"/>
        <v>0</v>
      </c>
      <c r="V128" s="219">
        <f t="shared" si="3"/>
        <v>0</v>
      </c>
    </row>
    <row r="129" spans="1:22" s="156" customFormat="1" ht="15.75" customHeight="1">
      <c r="A129" s="201" t="s">
        <v>67</v>
      </c>
      <c r="B129" s="202" t="s">
        <v>168</v>
      </c>
      <c r="C129" s="201" t="s">
        <v>170</v>
      </c>
      <c r="D129" s="203" t="s">
        <v>813</v>
      </c>
      <c r="E129" s="153">
        <v>85</v>
      </c>
      <c r="F129" s="154"/>
      <c r="G129" s="153"/>
      <c r="H129" s="155"/>
      <c r="I129" s="155"/>
      <c r="J129" s="155"/>
      <c r="K129" s="155"/>
      <c r="L129" s="154"/>
      <c r="M129" s="153"/>
      <c r="N129" s="154"/>
      <c r="O129" s="153"/>
      <c r="P129" s="154"/>
      <c r="Q129" s="153"/>
      <c r="R129" s="154"/>
      <c r="S129" s="153"/>
      <c r="T129" s="154"/>
      <c r="U129" s="219">
        <f t="shared" si="2"/>
        <v>0</v>
      </c>
      <c r="V129" s="219">
        <f t="shared" si="3"/>
        <v>0</v>
      </c>
    </row>
    <row r="130" spans="1:22" s="156" customFormat="1" ht="15.75" customHeight="1">
      <c r="A130" s="201" t="s">
        <v>67</v>
      </c>
      <c r="B130" s="202" t="s">
        <v>168</v>
      </c>
      <c r="C130" s="201" t="s">
        <v>171</v>
      </c>
      <c r="D130" s="203" t="s">
        <v>814</v>
      </c>
      <c r="E130" s="153"/>
      <c r="F130" s="154"/>
      <c r="G130" s="153">
        <v>0</v>
      </c>
      <c r="H130" s="155"/>
      <c r="I130" s="155">
        <v>0</v>
      </c>
      <c r="J130" s="155"/>
      <c r="K130" s="155">
        <v>0</v>
      </c>
      <c r="L130" s="154"/>
      <c r="M130" s="153">
        <f>841*0.8</f>
        <v>672.80000000000007</v>
      </c>
      <c r="N130" s="154"/>
      <c r="O130" s="153">
        <f>841*0.1</f>
        <v>84.100000000000009</v>
      </c>
      <c r="P130" s="154"/>
      <c r="Q130" s="153">
        <f>841*0.05</f>
        <v>42.050000000000004</v>
      </c>
      <c r="R130" s="154"/>
      <c r="S130" s="153">
        <f>841*0.05</f>
        <v>42.050000000000004</v>
      </c>
      <c r="T130" s="154"/>
      <c r="U130" s="219">
        <f t="shared" si="2"/>
        <v>841</v>
      </c>
      <c r="V130" s="219">
        <f t="shared" si="3"/>
        <v>0</v>
      </c>
    </row>
    <row r="131" spans="1:22" s="156" customFormat="1" ht="15.75" customHeight="1">
      <c r="A131" s="201" t="s">
        <v>67</v>
      </c>
      <c r="B131" s="202" t="s">
        <v>168</v>
      </c>
      <c r="C131" s="201" t="s">
        <v>172</v>
      </c>
      <c r="D131" s="203" t="s">
        <v>815</v>
      </c>
      <c r="E131" s="153">
        <v>56</v>
      </c>
      <c r="F131" s="154"/>
      <c r="G131" s="153">
        <v>600</v>
      </c>
      <c r="H131" s="155"/>
      <c r="I131" s="155">
        <v>0</v>
      </c>
      <c r="J131" s="155"/>
      <c r="K131" s="155">
        <v>600</v>
      </c>
      <c r="L131" s="154"/>
      <c r="M131" s="153">
        <f>700*0.8</f>
        <v>560</v>
      </c>
      <c r="N131" s="154"/>
      <c r="O131" s="153">
        <f>700*0.1</f>
        <v>70</v>
      </c>
      <c r="P131" s="154"/>
      <c r="Q131" s="153">
        <f>700*0.05</f>
        <v>35</v>
      </c>
      <c r="R131" s="154"/>
      <c r="S131" s="153">
        <f>700*0.05</f>
        <v>35</v>
      </c>
      <c r="T131" s="154"/>
      <c r="U131" s="219">
        <f t="shared" si="2"/>
        <v>700</v>
      </c>
      <c r="V131" s="219">
        <f t="shared" si="3"/>
        <v>0</v>
      </c>
    </row>
    <row r="132" spans="1:22" s="156" customFormat="1" ht="15.75" customHeight="1">
      <c r="A132" s="201" t="s">
        <v>67</v>
      </c>
      <c r="B132" s="202" t="s">
        <v>168</v>
      </c>
      <c r="C132" s="201" t="s">
        <v>173</v>
      </c>
      <c r="D132" s="203" t="s">
        <v>816</v>
      </c>
      <c r="E132" s="153"/>
      <c r="F132" s="154"/>
      <c r="G132" s="153"/>
      <c r="H132" s="155"/>
      <c r="I132" s="155"/>
      <c r="J132" s="155"/>
      <c r="K132" s="155"/>
      <c r="L132" s="154"/>
      <c r="M132" s="153"/>
      <c r="N132" s="154"/>
      <c r="O132" s="153"/>
      <c r="P132" s="154"/>
      <c r="Q132" s="153"/>
      <c r="R132" s="154"/>
      <c r="S132" s="153"/>
      <c r="T132" s="154"/>
      <c r="U132" s="219">
        <f t="shared" si="2"/>
        <v>0</v>
      </c>
      <c r="V132" s="219">
        <f t="shared" si="3"/>
        <v>0</v>
      </c>
    </row>
    <row r="133" spans="1:22" s="156" customFormat="1" ht="15.75" customHeight="1">
      <c r="A133" s="201" t="s">
        <v>67</v>
      </c>
      <c r="B133" s="202" t="s">
        <v>168</v>
      </c>
      <c r="C133" s="201" t="s">
        <v>174</v>
      </c>
      <c r="D133" s="203" t="s">
        <v>817</v>
      </c>
      <c r="E133" s="153"/>
      <c r="F133" s="154"/>
      <c r="G133" s="153"/>
      <c r="H133" s="155"/>
      <c r="I133" s="155"/>
      <c r="J133" s="155"/>
      <c r="K133" s="155"/>
      <c r="L133" s="154"/>
      <c r="M133" s="153"/>
      <c r="N133" s="154"/>
      <c r="O133" s="153"/>
      <c r="P133" s="154"/>
      <c r="Q133" s="153"/>
      <c r="R133" s="154"/>
      <c r="S133" s="153"/>
      <c r="T133" s="154"/>
      <c r="U133" s="219">
        <f t="shared" si="2"/>
        <v>0</v>
      </c>
      <c r="V133" s="219">
        <f t="shared" si="3"/>
        <v>0</v>
      </c>
    </row>
    <row r="134" spans="1:22" s="156" customFormat="1" ht="15.75" customHeight="1">
      <c r="A134" s="201" t="s">
        <v>67</v>
      </c>
      <c r="B134" s="202" t="s">
        <v>168</v>
      </c>
      <c r="C134" s="201" t="s">
        <v>175</v>
      </c>
      <c r="D134" s="203" t="s">
        <v>818</v>
      </c>
      <c r="E134" s="153">
        <v>1270</v>
      </c>
      <c r="F134" s="154"/>
      <c r="G134" s="153">
        <v>600</v>
      </c>
      <c r="H134" s="155"/>
      <c r="I134" s="155">
        <v>402</v>
      </c>
      <c r="J134" s="155"/>
      <c r="K134" s="155">
        <v>604</v>
      </c>
      <c r="L134" s="154"/>
      <c r="M134" s="153">
        <f>200*0.8</f>
        <v>160</v>
      </c>
      <c r="N134" s="154"/>
      <c r="O134" s="153">
        <f>200*0.1</f>
        <v>20</v>
      </c>
      <c r="P134" s="154"/>
      <c r="Q134" s="153">
        <f>200*0.05</f>
        <v>10</v>
      </c>
      <c r="R134" s="154"/>
      <c r="S134" s="153">
        <f>200*0.05</f>
        <v>10</v>
      </c>
      <c r="T134" s="154"/>
      <c r="U134" s="219">
        <f t="shared" si="2"/>
        <v>200</v>
      </c>
      <c r="V134" s="219">
        <f t="shared" si="3"/>
        <v>0</v>
      </c>
    </row>
    <row r="135" spans="1:22" s="156" customFormat="1" ht="15.75" customHeight="1">
      <c r="A135" s="201" t="s">
        <v>67</v>
      </c>
      <c r="B135" s="202" t="s">
        <v>168</v>
      </c>
      <c r="C135" s="201" t="s">
        <v>176</v>
      </c>
      <c r="D135" s="203" t="s">
        <v>819</v>
      </c>
      <c r="E135" s="153">
        <v>0</v>
      </c>
      <c r="F135" s="154"/>
      <c r="G135" s="153">
        <v>0</v>
      </c>
      <c r="H135" s="155"/>
      <c r="I135" s="155">
        <v>0</v>
      </c>
      <c r="J135" s="155"/>
      <c r="K135" s="155">
        <v>960</v>
      </c>
      <c r="L135" s="154"/>
      <c r="M135" s="153">
        <f>2880*0.8</f>
        <v>2304</v>
      </c>
      <c r="N135" s="154"/>
      <c r="O135" s="153">
        <f>2880*0.1</f>
        <v>288</v>
      </c>
      <c r="P135" s="154"/>
      <c r="Q135" s="153">
        <f>2880*0.05</f>
        <v>144</v>
      </c>
      <c r="R135" s="154"/>
      <c r="S135" s="153">
        <f>2880*0.05</f>
        <v>144</v>
      </c>
      <c r="T135" s="154"/>
      <c r="U135" s="219">
        <f t="shared" si="2"/>
        <v>2880</v>
      </c>
      <c r="V135" s="219">
        <f t="shared" si="3"/>
        <v>0</v>
      </c>
    </row>
    <row r="136" spans="1:22" s="156" customFormat="1" ht="15.75" customHeight="1">
      <c r="A136" s="201" t="s">
        <v>67</v>
      </c>
      <c r="B136" s="202" t="s">
        <v>168</v>
      </c>
      <c r="C136" s="201" t="s">
        <v>177</v>
      </c>
      <c r="D136" s="203" t="s">
        <v>820</v>
      </c>
      <c r="E136" s="153"/>
      <c r="F136" s="154"/>
      <c r="G136" s="153"/>
      <c r="H136" s="155"/>
      <c r="I136" s="155"/>
      <c r="J136" s="155"/>
      <c r="K136" s="155"/>
      <c r="L136" s="154"/>
      <c r="M136" s="153"/>
      <c r="N136" s="154"/>
      <c r="O136" s="153"/>
      <c r="P136" s="154"/>
      <c r="Q136" s="153"/>
      <c r="R136" s="154"/>
      <c r="S136" s="153"/>
      <c r="T136" s="154"/>
      <c r="U136" s="219">
        <f t="shared" si="2"/>
        <v>0</v>
      </c>
      <c r="V136" s="219">
        <f t="shared" si="3"/>
        <v>0</v>
      </c>
    </row>
    <row r="137" spans="1:22" s="156" customFormat="1" ht="15.75" customHeight="1">
      <c r="A137" s="201" t="s">
        <v>67</v>
      </c>
      <c r="B137" s="202" t="s">
        <v>168</v>
      </c>
      <c r="C137" s="201" t="s">
        <v>178</v>
      </c>
      <c r="D137" s="203" t="s">
        <v>821</v>
      </c>
      <c r="E137" s="153"/>
      <c r="F137" s="154"/>
      <c r="G137" s="153">
        <v>0</v>
      </c>
      <c r="H137" s="155"/>
      <c r="I137" s="155">
        <v>0</v>
      </c>
      <c r="J137" s="155"/>
      <c r="K137" s="155">
        <v>0</v>
      </c>
      <c r="L137" s="154"/>
      <c r="M137" s="153">
        <v>0</v>
      </c>
      <c r="N137" s="154"/>
      <c r="O137" s="153">
        <v>0</v>
      </c>
      <c r="P137" s="154"/>
      <c r="Q137" s="153">
        <v>0</v>
      </c>
      <c r="R137" s="154"/>
      <c r="S137" s="153">
        <v>0</v>
      </c>
      <c r="T137" s="154"/>
      <c r="U137" s="219">
        <f t="shared" ref="U137:U200" si="4">M137+O137+Q137+S137</f>
        <v>0</v>
      </c>
      <c r="V137" s="219">
        <f t="shared" ref="V137:V200" si="5">N137+P137+R137+T137</f>
        <v>0</v>
      </c>
    </row>
    <row r="138" spans="1:22" s="156" customFormat="1" ht="15.75" customHeight="1">
      <c r="A138" s="201" t="s">
        <v>67</v>
      </c>
      <c r="B138" s="202" t="s">
        <v>168</v>
      </c>
      <c r="C138" s="201" t="s">
        <v>1280</v>
      </c>
      <c r="D138" s="203" t="s">
        <v>822</v>
      </c>
      <c r="E138" s="153"/>
      <c r="F138" s="154"/>
      <c r="G138" s="153">
        <v>0</v>
      </c>
      <c r="H138" s="155"/>
      <c r="I138" s="155"/>
      <c r="J138" s="155"/>
      <c r="K138" s="155"/>
      <c r="L138" s="154"/>
      <c r="M138" s="153"/>
      <c r="N138" s="154"/>
      <c r="O138" s="153"/>
      <c r="P138" s="154"/>
      <c r="Q138" s="153"/>
      <c r="R138" s="154"/>
      <c r="S138" s="153"/>
      <c r="T138" s="154"/>
      <c r="U138" s="219">
        <f t="shared" si="4"/>
        <v>0</v>
      </c>
      <c r="V138" s="219">
        <f t="shared" si="5"/>
        <v>0</v>
      </c>
    </row>
    <row r="139" spans="1:22" s="156" customFormat="1" ht="15.75" customHeight="1">
      <c r="A139" s="201" t="s">
        <v>67</v>
      </c>
      <c r="B139" s="202" t="s">
        <v>168</v>
      </c>
      <c r="C139" s="201" t="s">
        <v>179</v>
      </c>
      <c r="D139" s="203" t="s">
        <v>823</v>
      </c>
      <c r="E139" s="153">
        <v>12928</v>
      </c>
      <c r="F139" s="154"/>
      <c r="G139" s="153">
        <f>10000+1532+150</f>
        <v>11682</v>
      </c>
      <c r="H139" s="155"/>
      <c r="I139" s="155">
        <f>7727+1006+101</f>
        <v>8834</v>
      </c>
      <c r="J139" s="155"/>
      <c r="K139" s="155">
        <f>11590+1509+152</f>
        <v>13251</v>
      </c>
      <c r="L139" s="154"/>
      <c r="M139" s="153">
        <f>13328+1585</f>
        <v>14913</v>
      </c>
      <c r="N139" s="154"/>
      <c r="O139" s="153"/>
      <c r="P139" s="154"/>
      <c r="Q139" s="153">
        <f>198</f>
        <v>198</v>
      </c>
      <c r="R139" s="154"/>
      <c r="S139" s="153"/>
      <c r="T139" s="154"/>
      <c r="U139" s="219">
        <f t="shared" si="4"/>
        <v>15111</v>
      </c>
      <c r="V139" s="219">
        <f t="shared" si="5"/>
        <v>0</v>
      </c>
    </row>
    <row r="140" spans="1:22" s="156" customFormat="1" ht="15.75" customHeight="1">
      <c r="A140" s="201" t="s">
        <v>67</v>
      </c>
      <c r="B140" s="202" t="s">
        <v>168</v>
      </c>
      <c r="C140" s="201" t="s">
        <v>180</v>
      </c>
      <c r="D140" s="203" t="s">
        <v>824</v>
      </c>
      <c r="E140" s="153"/>
      <c r="F140" s="154"/>
      <c r="G140" s="153"/>
      <c r="H140" s="155"/>
      <c r="I140" s="155"/>
      <c r="J140" s="155"/>
      <c r="K140" s="155"/>
      <c r="L140" s="154"/>
      <c r="M140" s="153"/>
      <c r="N140" s="154"/>
      <c r="O140" s="153"/>
      <c r="P140" s="154"/>
      <c r="Q140" s="153"/>
      <c r="R140" s="154"/>
      <c r="S140" s="153"/>
      <c r="T140" s="154"/>
      <c r="U140" s="219">
        <f t="shared" si="4"/>
        <v>0</v>
      </c>
      <c r="V140" s="219">
        <f t="shared" si="5"/>
        <v>0</v>
      </c>
    </row>
    <row r="141" spans="1:22" s="156" customFormat="1" ht="15.75" customHeight="1">
      <c r="A141" s="201" t="s">
        <v>67</v>
      </c>
      <c r="B141" s="202" t="s">
        <v>168</v>
      </c>
      <c r="C141" s="201" t="s">
        <v>181</v>
      </c>
      <c r="D141" s="203" t="s">
        <v>825</v>
      </c>
      <c r="E141" s="153">
        <f>12589+30</f>
        <v>12619</v>
      </c>
      <c r="F141" s="154"/>
      <c r="G141" s="153">
        <f>0+4000+2000</f>
        <v>6000</v>
      </c>
      <c r="H141" s="155"/>
      <c r="I141" s="155">
        <f>8162+2443+1727</f>
        <v>12332</v>
      </c>
      <c r="J141" s="155"/>
      <c r="K141" s="155">
        <f>12687+3664+2590</f>
        <v>18941</v>
      </c>
      <c r="L141" s="154"/>
      <c r="M141" s="153">
        <f>15550+4031</f>
        <v>19581</v>
      </c>
      <c r="N141" s="154"/>
      <c r="O141" s="153"/>
      <c r="P141" s="154"/>
      <c r="Q141" s="153">
        <f>2600</f>
        <v>2600</v>
      </c>
      <c r="R141" s="154"/>
      <c r="S141" s="153"/>
      <c r="T141" s="154"/>
      <c r="U141" s="219">
        <f t="shared" si="4"/>
        <v>22181</v>
      </c>
      <c r="V141" s="219">
        <f t="shared" si="5"/>
        <v>0</v>
      </c>
    </row>
    <row r="142" spans="1:22" s="156" customFormat="1" ht="15.75" customHeight="1">
      <c r="A142" s="201" t="s">
        <v>67</v>
      </c>
      <c r="B142" s="202" t="s">
        <v>168</v>
      </c>
      <c r="C142" s="201" t="s">
        <v>182</v>
      </c>
      <c r="D142" s="203" t="s">
        <v>826</v>
      </c>
      <c r="E142" s="153"/>
      <c r="F142" s="154"/>
      <c r="G142" s="153"/>
      <c r="H142" s="155"/>
      <c r="I142" s="155"/>
      <c r="J142" s="155"/>
      <c r="K142" s="155"/>
      <c r="L142" s="154"/>
      <c r="M142" s="153"/>
      <c r="N142" s="154"/>
      <c r="O142" s="153"/>
      <c r="P142" s="154"/>
      <c r="Q142" s="153"/>
      <c r="R142" s="154"/>
      <c r="S142" s="153"/>
      <c r="T142" s="154"/>
      <c r="U142" s="219">
        <f t="shared" si="4"/>
        <v>0</v>
      </c>
      <c r="V142" s="219">
        <f t="shared" si="5"/>
        <v>0</v>
      </c>
    </row>
    <row r="143" spans="1:22" s="156" customFormat="1" ht="15.75" customHeight="1">
      <c r="A143" s="201" t="s">
        <v>67</v>
      </c>
      <c r="B143" s="202" t="s">
        <v>168</v>
      </c>
      <c r="C143" s="201" t="s">
        <v>183</v>
      </c>
      <c r="D143" s="203" t="s">
        <v>827</v>
      </c>
      <c r="E143" s="153">
        <v>669</v>
      </c>
      <c r="F143" s="154"/>
      <c r="G143" s="153">
        <f>250</f>
        <v>250</v>
      </c>
      <c r="H143" s="155"/>
      <c r="I143" s="155">
        <f>165</f>
        <v>165</v>
      </c>
      <c r="J143" s="155"/>
      <c r="K143" s="155">
        <f>248</f>
        <v>248</v>
      </c>
      <c r="L143" s="154"/>
      <c r="M143" s="153"/>
      <c r="N143" s="154"/>
      <c r="O143" s="153"/>
      <c r="P143" s="154"/>
      <c r="Q143" s="153"/>
      <c r="R143" s="154"/>
      <c r="S143" s="153"/>
      <c r="T143" s="154"/>
      <c r="U143" s="219">
        <f t="shared" si="4"/>
        <v>0</v>
      </c>
      <c r="V143" s="219">
        <f t="shared" si="5"/>
        <v>0</v>
      </c>
    </row>
    <row r="144" spans="1:22" s="156" customFormat="1" ht="15.75" customHeight="1">
      <c r="A144" s="201" t="s">
        <v>67</v>
      </c>
      <c r="B144" s="202" t="s">
        <v>184</v>
      </c>
      <c r="C144" s="201" t="s">
        <v>185</v>
      </c>
      <c r="D144" s="203" t="s">
        <v>828</v>
      </c>
      <c r="E144" s="153"/>
      <c r="F144" s="154"/>
      <c r="G144" s="153"/>
      <c r="H144" s="155"/>
      <c r="I144" s="155"/>
      <c r="J144" s="155"/>
      <c r="K144" s="155"/>
      <c r="L144" s="154"/>
      <c r="M144" s="153"/>
      <c r="N144" s="154"/>
      <c r="O144" s="153"/>
      <c r="P144" s="154"/>
      <c r="Q144" s="153"/>
      <c r="R144" s="154"/>
      <c r="S144" s="153"/>
      <c r="T144" s="154"/>
      <c r="U144" s="219">
        <f t="shared" si="4"/>
        <v>0</v>
      </c>
      <c r="V144" s="219">
        <f t="shared" si="5"/>
        <v>0</v>
      </c>
    </row>
    <row r="145" spans="1:22" s="156" customFormat="1" ht="15.75" customHeight="1">
      <c r="A145" s="201" t="s">
        <v>67</v>
      </c>
      <c r="B145" s="202" t="s">
        <v>184</v>
      </c>
      <c r="C145" s="201" t="s">
        <v>186</v>
      </c>
      <c r="D145" s="203" t="s">
        <v>829</v>
      </c>
      <c r="E145" s="153"/>
      <c r="F145" s="154"/>
      <c r="G145" s="153"/>
      <c r="H145" s="155"/>
      <c r="I145" s="155"/>
      <c r="J145" s="155"/>
      <c r="K145" s="155"/>
      <c r="L145" s="154"/>
      <c r="M145" s="153"/>
      <c r="N145" s="154"/>
      <c r="O145" s="153"/>
      <c r="P145" s="154"/>
      <c r="Q145" s="153"/>
      <c r="R145" s="154"/>
      <c r="S145" s="153"/>
      <c r="T145" s="154"/>
      <c r="U145" s="219">
        <f t="shared" si="4"/>
        <v>0</v>
      </c>
      <c r="V145" s="219">
        <f t="shared" si="5"/>
        <v>0</v>
      </c>
    </row>
    <row r="146" spans="1:22" s="156" customFormat="1" ht="15.75" customHeight="1">
      <c r="A146" s="201" t="s">
        <v>67</v>
      </c>
      <c r="B146" s="202" t="s">
        <v>184</v>
      </c>
      <c r="C146" s="201" t="s">
        <v>187</v>
      </c>
      <c r="D146" s="203" t="s">
        <v>830</v>
      </c>
      <c r="E146" s="153"/>
      <c r="F146" s="154"/>
      <c r="G146" s="153"/>
      <c r="H146" s="155"/>
      <c r="I146" s="155"/>
      <c r="J146" s="155"/>
      <c r="K146" s="155"/>
      <c r="L146" s="154"/>
      <c r="M146" s="153"/>
      <c r="N146" s="154"/>
      <c r="O146" s="153"/>
      <c r="P146" s="154"/>
      <c r="Q146" s="153"/>
      <c r="R146" s="154"/>
      <c r="S146" s="153"/>
      <c r="T146" s="154"/>
      <c r="U146" s="219">
        <f t="shared" si="4"/>
        <v>0</v>
      </c>
      <c r="V146" s="219">
        <f t="shared" si="5"/>
        <v>0</v>
      </c>
    </row>
    <row r="147" spans="1:22" s="156" customFormat="1" ht="15.75" customHeight="1">
      <c r="A147" s="201" t="s">
        <v>67</v>
      </c>
      <c r="B147" s="202" t="s">
        <v>1265</v>
      </c>
      <c r="C147" s="201" t="s">
        <v>1266</v>
      </c>
      <c r="D147" s="203">
        <v>1021501</v>
      </c>
      <c r="E147" s="153"/>
      <c r="F147" s="154"/>
      <c r="G147" s="153"/>
      <c r="H147" s="155"/>
      <c r="I147" s="155"/>
      <c r="J147" s="155"/>
      <c r="K147" s="155"/>
      <c r="L147" s="154"/>
      <c r="M147" s="153"/>
      <c r="N147" s="154"/>
      <c r="O147" s="153"/>
      <c r="P147" s="154"/>
      <c r="Q147" s="153"/>
      <c r="R147" s="154"/>
      <c r="S147" s="153"/>
      <c r="T147" s="154"/>
      <c r="U147" s="219">
        <f t="shared" si="4"/>
        <v>0</v>
      </c>
      <c r="V147" s="219">
        <f t="shared" si="5"/>
        <v>0</v>
      </c>
    </row>
    <row r="148" spans="1:22" s="156" customFormat="1" ht="15.75" customHeight="1">
      <c r="A148" s="201" t="s">
        <v>67</v>
      </c>
      <c r="B148" s="202" t="s">
        <v>1265</v>
      </c>
      <c r="C148" s="201" t="s">
        <v>1267</v>
      </c>
      <c r="D148" s="203">
        <v>1021502</v>
      </c>
      <c r="E148" s="153">
        <v>200</v>
      </c>
      <c r="F148" s="154"/>
      <c r="G148" s="153">
        <v>250</v>
      </c>
      <c r="H148" s="155"/>
      <c r="I148" s="155">
        <v>179</v>
      </c>
      <c r="J148" s="155"/>
      <c r="K148" s="155">
        <v>268</v>
      </c>
      <c r="L148" s="154"/>
      <c r="M148" s="153"/>
      <c r="N148" s="154"/>
      <c r="O148" s="153"/>
      <c r="P148" s="154"/>
      <c r="Q148" s="153"/>
      <c r="R148" s="154"/>
      <c r="S148" s="153"/>
      <c r="T148" s="154"/>
      <c r="U148" s="219">
        <f t="shared" si="4"/>
        <v>0</v>
      </c>
      <c r="V148" s="219">
        <f t="shared" si="5"/>
        <v>0</v>
      </c>
    </row>
    <row r="149" spans="1:22" s="156" customFormat="1" ht="15.75" customHeight="1">
      <c r="A149" s="201" t="s">
        <v>67</v>
      </c>
      <c r="B149" s="202" t="s">
        <v>1265</v>
      </c>
      <c r="C149" s="201" t="s">
        <v>1268</v>
      </c>
      <c r="D149" s="203">
        <v>1021503</v>
      </c>
      <c r="E149" s="153">
        <v>120</v>
      </c>
      <c r="F149" s="154"/>
      <c r="G149" s="153">
        <v>250</v>
      </c>
      <c r="H149" s="155"/>
      <c r="I149" s="155">
        <v>179</v>
      </c>
      <c r="J149" s="155"/>
      <c r="K149" s="155">
        <v>268</v>
      </c>
      <c r="L149" s="154"/>
      <c r="M149" s="153">
        <f>322*0.8</f>
        <v>257.60000000000002</v>
      </c>
      <c r="N149" s="154"/>
      <c r="O149" s="153">
        <f>322*0.1</f>
        <v>32.200000000000003</v>
      </c>
      <c r="P149" s="154"/>
      <c r="Q149" s="153">
        <f>322*0.05</f>
        <v>16.100000000000001</v>
      </c>
      <c r="R149" s="154"/>
      <c r="S149" s="153">
        <f>322*0.05</f>
        <v>16.100000000000001</v>
      </c>
      <c r="T149" s="154"/>
      <c r="U149" s="219">
        <f t="shared" si="4"/>
        <v>322.00000000000006</v>
      </c>
      <c r="V149" s="219">
        <f t="shared" si="5"/>
        <v>0</v>
      </c>
    </row>
    <row r="150" spans="1:22" s="156" customFormat="1" ht="15.75" customHeight="1">
      <c r="A150" s="201" t="s">
        <v>67</v>
      </c>
      <c r="B150" s="202" t="s">
        <v>1265</v>
      </c>
      <c r="C150" s="201" t="s">
        <v>1269</v>
      </c>
      <c r="D150" s="203">
        <v>1021504</v>
      </c>
      <c r="E150" s="153"/>
      <c r="F150" s="154"/>
      <c r="G150" s="153"/>
      <c r="H150" s="155"/>
      <c r="I150" s="155"/>
      <c r="J150" s="155"/>
      <c r="K150" s="155"/>
      <c r="L150" s="154"/>
      <c r="M150" s="153"/>
      <c r="N150" s="154"/>
      <c r="O150" s="153"/>
      <c r="P150" s="154"/>
      <c r="Q150" s="153"/>
      <c r="R150" s="154"/>
      <c r="S150" s="153"/>
      <c r="T150" s="154"/>
      <c r="U150" s="219">
        <f t="shared" si="4"/>
        <v>0</v>
      </c>
      <c r="V150" s="219">
        <f t="shared" si="5"/>
        <v>0</v>
      </c>
    </row>
    <row r="151" spans="1:22" s="156" customFormat="1" ht="15.75" customHeight="1">
      <c r="A151" s="201" t="s">
        <v>67</v>
      </c>
      <c r="B151" s="202" t="s">
        <v>1265</v>
      </c>
      <c r="C151" s="201" t="s">
        <v>1270</v>
      </c>
      <c r="D151" s="203">
        <v>1021505</v>
      </c>
      <c r="E151" s="153">
        <v>189</v>
      </c>
      <c r="F151" s="154"/>
      <c r="G151" s="153">
        <v>500</v>
      </c>
      <c r="H151" s="155"/>
      <c r="I151" s="155">
        <v>334</v>
      </c>
      <c r="J151" s="155"/>
      <c r="K151" s="155">
        <v>501</v>
      </c>
      <c r="L151" s="154"/>
      <c r="M151" s="153"/>
      <c r="N151" s="154"/>
      <c r="O151" s="153"/>
      <c r="P151" s="154"/>
      <c r="Q151" s="153"/>
      <c r="R151" s="154"/>
      <c r="S151" s="153"/>
      <c r="T151" s="154"/>
      <c r="U151" s="219">
        <f t="shared" si="4"/>
        <v>0</v>
      </c>
      <c r="V151" s="219">
        <f t="shared" si="5"/>
        <v>0</v>
      </c>
    </row>
    <row r="152" spans="1:22" s="156" customFormat="1" ht="15.75" customHeight="1">
      <c r="A152" s="201" t="s">
        <v>67</v>
      </c>
      <c r="B152" s="202" t="s">
        <v>1265</v>
      </c>
      <c r="C152" s="201" t="s">
        <v>1271</v>
      </c>
      <c r="D152" s="203">
        <v>1021506</v>
      </c>
      <c r="E152" s="153"/>
      <c r="F152" s="154"/>
      <c r="G152" s="153"/>
      <c r="H152" s="155"/>
      <c r="I152" s="155"/>
      <c r="J152" s="155"/>
      <c r="K152" s="155"/>
      <c r="L152" s="154"/>
      <c r="M152" s="153"/>
      <c r="N152" s="154"/>
      <c r="O152" s="153"/>
      <c r="P152" s="154"/>
      <c r="Q152" s="153"/>
      <c r="R152" s="154"/>
      <c r="S152" s="153"/>
      <c r="T152" s="154"/>
      <c r="U152" s="219">
        <f t="shared" si="4"/>
        <v>0</v>
      </c>
      <c r="V152" s="219">
        <f t="shared" si="5"/>
        <v>0</v>
      </c>
    </row>
    <row r="153" spans="1:22" s="156" customFormat="1" ht="15.75" customHeight="1">
      <c r="A153" s="201" t="s">
        <v>67</v>
      </c>
      <c r="B153" s="202" t="s">
        <v>1265</v>
      </c>
      <c r="C153" s="201" t="s">
        <v>1272</v>
      </c>
      <c r="D153" s="203">
        <v>1021507</v>
      </c>
      <c r="E153" s="153"/>
      <c r="F153" s="154"/>
      <c r="G153" s="153"/>
      <c r="H153" s="155"/>
      <c r="I153" s="155"/>
      <c r="J153" s="155"/>
      <c r="K153" s="155"/>
      <c r="L153" s="154"/>
      <c r="M153" s="153"/>
      <c r="N153" s="154"/>
      <c r="O153" s="153"/>
      <c r="P153" s="154"/>
      <c r="Q153" s="153"/>
      <c r="R153" s="154"/>
      <c r="S153" s="153"/>
      <c r="T153" s="154"/>
      <c r="U153" s="219">
        <f t="shared" si="4"/>
        <v>0</v>
      </c>
      <c r="V153" s="219">
        <f t="shared" si="5"/>
        <v>0</v>
      </c>
    </row>
    <row r="154" spans="1:22" s="156" customFormat="1" ht="15.75" customHeight="1">
      <c r="A154" s="201" t="s">
        <v>67</v>
      </c>
      <c r="B154" s="202" t="s">
        <v>1265</v>
      </c>
      <c r="C154" s="201" t="s">
        <v>1273</v>
      </c>
      <c r="D154" s="203">
        <v>1021508</v>
      </c>
      <c r="E154" s="153"/>
      <c r="F154" s="154"/>
      <c r="G154" s="153"/>
      <c r="H154" s="155"/>
      <c r="I154" s="155"/>
      <c r="J154" s="155"/>
      <c r="K154" s="155"/>
      <c r="L154" s="154"/>
      <c r="M154" s="153"/>
      <c r="N154" s="154"/>
      <c r="O154" s="153"/>
      <c r="P154" s="154"/>
      <c r="Q154" s="153"/>
      <c r="R154" s="154"/>
      <c r="S154" s="153"/>
      <c r="T154" s="154"/>
      <c r="U154" s="219">
        <f t="shared" si="4"/>
        <v>0</v>
      </c>
      <c r="V154" s="219">
        <f t="shared" si="5"/>
        <v>0</v>
      </c>
    </row>
    <row r="155" spans="1:22" s="156" customFormat="1" ht="15.75" customHeight="1">
      <c r="A155" s="201" t="s">
        <v>67</v>
      </c>
      <c r="B155" s="202" t="s">
        <v>1265</v>
      </c>
      <c r="C155" s="201" t="s">
        <v>1274</v>
      </c>
      <c r="D155" s="203">
        <v>1021509</v>
      </c>
      <c r="E155" s="153"/>
      <c r="F155" s="154"/>
      <c r="G155" s="153"/>
      <c r="H155" s="155"/>
      <c r="I155" s="155"/>
      <c r="J155" s="155"/>
      <c r="K155" s="155"/>
      <c r="L155" s="154"/>
      <c r="M155" s="153"/>
      <c r="N155" s="154"/>
      <c r="O155" s="153"/>
      <c r="P155" s="154"/>
      <c r="Q155" s="153"/>
      <c r="R155" s="154"/>
      <c r="S155" s="153"/>
      <c r="T155" s="154"/>
      <c r="U155" s="219">
        <f t="shared" si="4"/>
        <v>0</v>
      </c>
      <c r="V155" s="219">
        <f t="shared" si="5"/>
        <v>0</v>
      </c>
    </row>
    <row r="156" spans="1:22" s="156" customFormat="1" ht="15.75" customHeight="1">
      <c r="A156" s="201" t="s">
        <v>67</v>
      </c>
      <c r="B156" s="202" t="s">
        <v>1265</v>
      </c>
      <c r="C156" s="201" t="s">
        <v>1275</v>
      </c>
      <c r="D156" s="203">
        <v>1021510</v>
      </c>
      <c r="E156" s="153"/>
      <c r="F156" s="154"/>
      <c r="G156" s="153"/>
      <c r="H156" s="155"/>
      <c r="I156" s="155"/>
      <c r="J156" s="155"/>
      <c r="K156" s="155"/>
      <c r="L156" s="154"/>
      <c r="M156" s="153"/>
      <c r="N156" s="154"/>
      <c r="O156" s="153"/>
      <c r="P156" s="154"/>
      <c r="Q156" s="153"/>
      <c r="R156" s="154"/>
      <c r="S156" s="153"/>
      <c r="T156" s="154"/>
      <c r="U156" s="219">
        <f t="shared" si="4"/>
        <v>0</v>
      </c>
      <c r="V156" s="219">
        <f t="shared" si="5"/>
        <v>0</v>
      </c>
    </row>
    <row r="157" spans="1:22" s="156" customFormat="1" ht="15.75" customHeight="1">
      <c r="A157" s="201" t="s">
        <v>67</v>
      </c>
      <c r="B157" s="202" t="s">
        <v>1265</v>
      </c>
      <c r="C157" s="201" t="s">
        <v>1276</v>
      </c>
      <c r="D157" s="203">
        <v>1021599</v>
      </c>
      <c r="E157" s="153"/>
      <c r="F157" s="154"/>
      <c r="G157" s="153"/>
      <c r="H157" s="155"/>
      <c r="I157" s="155"/>
      <c r="J157" s="155"/>
      <c r="K157" s="155"/>
      <c r="L157" s="154"/>
      <c r="M157" s="153"/>
      <c r="N157" s="154"/>
      <c r="O157" s="153"/>
      <c r="P157" s="154"/>
      <c r="Q157" s="153"/>
      <c r="R157" s="154"/>
      <c r="S157" s="153"/>
      <c r="T157" s="154"/>
      <c r="U157" s="219">
        <f t="shared" si="4"/>
        <v>0</v>
      </c>
      <c r="V157" s="219">
        <f t="shared" si="5"/>
        <v>0</v>
      </c>
    </row>
    <row r="158" spans="1:22" s="156" customFormat="1" ht="15.75" customHeight="1">
      <c r="A158" s="201" t="s">
        <v>188</v>
      </c>
      <c r="B158" s="202" t="s">
        <v>189</v>
      </c>
      <c r="C158" s="201" t="s">
        <v>190</v>
      </c>
      <c r="D158" s="203" t="s">
        <v>831</v>
      </c>
      <c r="E158" s="153"/>
      <c r="F158" s="154"/>
      <c r="G158" s="153"/>
      <c r="H158" s="155"/>
      <c r="I158" s="155"/>
      <c r="J158" s="155"/>
      <c r="K158" s="155"/>
      <c r="L158" s="154"/>
      <c r="M158" s="153"/>
      <c r="N158" s="154"/>
      <c r="O158" s="153"/>
      <c r="P158" s="154"/>
      <c r="Q158" s="153"/>
      <c r="R158" s="154"/>
      <c r="S158" s="153"/>
      <c r="T158" s="154"/>
      <c r="U158" s="219">
        <f t="shared" si="4"/>
        <v>0</v>
      </c>
      <c r="V158" s="219">
        <f t="shared" si="5"/>
        <v>0</v>
      </c>
    </row>
    <row r="159" spans="1:22" s="156" customFormat="1" ht="15.75" customHeight="1">
      <c r="A159" s="201" t="s">
        <v>188</v>
      </c>
      <c r="B159" s="202" t="s">
        <v>189</v>
      </c>
      <c r="C159" s="201" t="s">
        <v>191</v>
      </c>
      <c r="D159" s="203" t="s">
        <v>832</v>
      </c>
      <c r="E159" s="153"/>
      <c r="F159" s="154"/>
      <c r="G159" s="153"/>
      <c r="H159" s="155"/>
      <c r="I159" s="155"/>
      <c r="J159" s="155"/>
      <c r="K159" s="155"/>
      <c r="L159" s="154"/>
      <c r="M159" s="153"/>
      <c r="N159" s="154"/>
      <c r="O159" s="153"/>
      <c r="P159" s="154"/>
      <c r="Q159" s="153"/>
      <c r="R159" s="154"/>
      <c r="S159" s="153"/>
      <c r="T159" s="154"/>
      <c r="U159" s="219">
        <f t="shared" si="4"/>
        <v>0</v>
      </c>
      <c r="V159" s="219">
        <f t="shared" si="5"/>
        <v>0</v>
      </c>
    </row>
    <row r="160" spans="1:22" s="156" customFormat="1" ht="15.75" customHeight="1">
      <c r="A160" s="201" t="s">
        <v>188</v>
      </c>
      <c r="B160" s="202" t="s">
        <v>189</v>
      </c>
      <c r="C160" s="201" t="s">
        <v>192</v>
      </c>
      <c r="D160" s="203" t="s">
        <v>833</v>
      </c>
      <c r="E160" s="153"/>
      <c r="F160" s="154"/>
      <c r="G160" s="153"/>
      <c r="H160" s="155"/>
      <c r="I160" s="155"/>
      <c r="J160" s="155"/>
      <c r="K160" s="155"/>
      <c r="L160" s="154"/>
      <c r="M160" s="153"/>
      <c r="N160" s="154"/>
      <c r="O160" s="153"/>
      <c r="P160" s="154"/>
      <c r="Q160" s="153"/>
      <c r="R160" s="154"/>
      <c r="S160" s="153"/>
      <c r="T160" s="154"/>
      <c r="U160" s="219">
        <f t="shared" si="4"/>
        <v>0</v>
      </c>
      <c r="V160" s="219">
        <f t="shared" si="5"/>
        <v>0</v>
      </c>
    </row>
    <row r="161" spans="1:23" s="156" customFormat="1" ht="15.75" customHeight="1">
      <c r="A161" s="201" t="s">
        <v>188</v>
      </c>
      <c r="B161" s="202" t="s">
        <v>189</v>
      </c>
      <c r="C161" s="201" t="s">
        <v>193</v>
      </c>
      <c r="D161" s="203" t="s">
        <v>834</v>
      </c>
      <c r="E161" s="153"/>
      <c r="F161" s="154"/>
      <c r="G161" s="153"/>
      <c r="H161" s="155"/>
      <c r="I161" s="155"/>
      <c r="J161" s="155"/>
      <c r="K161" s="155"/>
      <c r="L161" s="154"/>
      <c r="M161" s="153"/>
      <c r="N161" s="154"/>
      <c r="O161" s="153"/>
      <c r="P161" s="154"/>
      <c r="Q161" s="153"/>
      <c r="R161" s="154"/>
      <c r="S161" s="153"/>
      <c r="T161" s="154"/>
      <c r="U161" s="219">
        <f t="shared" si="4"/>
        <v>0</v>
      </c>
      <c r="V161" s="219">
        <f t="shared" si="5"/>
        <v>0</v>
      </c>
    </row>
    <row r="162" spans="1:23" s="156" customFormat="1" ht="15.75" customHeight="1">
      <c r="A162" s="201" t="s">
        <v>188</v>
      </c>
      <c r="B162" s="202" t="s">
        <v>189</v>
      </c>
      <c r="C162" s="201" t="s">
        <v>194</v>
      </c>
      <c r="D162" s="203" t="s">
        <v>835</v>
      </c>
      <c r="E162" s="153"/>
      <c r="F162" s="154"/>
      <c r="G162" s="153"/>
      <c r="H162" s="155"/>
      <c r="I162" s="155"/>
      <c r="J162" s="155"/>
      <c r="K162" s="155"/>
      <c r="L162" s="154"/>
      <c r="M162" s="153"/>
      <c r="N162" s="154"/>
      <c r="O162" s="153"/>
      <c r="P162" s="154"/>
      <c r="Q162" s="153"/>
      <c r="R162" s="154"/>
      <c r="S162" s="153"/>
      <c r="T162" s="154"/>
      <c r="U162" s="219">
        <f t="shared" si="4"/>
        <v>0</v>
      </c>
      <c r="V162" s="219">
        <f t="shared" si="5"/>
        <v>0</v>
      </c>
    </row>
    <row r="163" spans="1:23" s="156" customFormat="1" ht="15.75" customHeight="1">
      <c r="A163" s="201" t="s">
        <v>188</v>
      </c>
      <c r="B163" s="202" t="s">
        <v>189</v>
      </c>
      <c r="C163" s="201" t="s">
        <v>195</v>
      </c>
      <c r="D163" s="203" t="s">
        <v>836</v>
      </c>
      <c r="E163" s="153"/>
      <c r="F163" s="154"/>
      <c r="G163" s="153"/>
      <c r="H163" s="155"/>
      <c r="I163" s="155"/>
      <c r="J163" s="155"/>
      <c r="K163" s="155"/>
      <c r="L163" s="154"/>
      <c r="M163" s="153"/>
      <c r="N163" s="154"/>
      <c r="O163" s="153"/>
      <c r="P163" s="154"/>
      <c r="Q163" s="153"/>
      <c r="R163" s="154"/>
      <c r="S163" s="153"/>
      <c r="T163" s="154"/>
      <c r="U163" s="219">
        <f t="shared" si="4"/>
        <v>0</v>
      </c>
      <c r="V163" s="219">
        <f t="shared" si="5"/>
        <v>0</v>
      </c>
    </row>
    <row r="164" spans="1:23" s="156" customFormat="1" ht="15.75" customHeight="1">
      <c r="A164" s="201" t="s">
        <v>188</v>
      </c>
      <c r="B164" s="202" t="s">
        <v>189</v>
      </c>
      <c r="C164" s="201" t="s">
        <v>196</v>
      </c>
      <c r="D164" s="203" t="s">
        <v>837</v>
      </c>
      <c r="E164" s="153"/>
      <c r="F164" s="154"/>
      <c r="G164" s="153"/>
      <c r="H164" s="155"/>
      <c r="I164" s="155"/>
      <c r="J164" s="155"/>
      <c r="K164" s="155"/>
      <c r="L164" s="154"/>
      <c r="M164" s="153"/>
      <c r="N164" s="154"/>
      <c r="O164" s="153"/>
      <c r="P164" s="154"/>
      <c r="Q164" s="153"/>
      <c r="R164" s="154"/>
      <c r="S164" s="153"/>
      <c r="T164" s="154"/>
      <c r="U164" s="219">
        <f t="shared" si="4"/>
        <v>0</v>
      </c>
      <c r="V164" s="219">
        <f t="shared" si="5"/>
        <v>0</v>
      </c>
    </row>
    <row r="165" spans="1:23" s="156" customFormat="1" ht="15.75" customHeight="1">
      <c r="A165" s="201" t="s">
        <v>188</v>
      </c>
      <c r="B165" s="202" t="s">
        <v>189</v>
      </c>
      <c r="C165" s="201" t="s">
        <v>197</v>
      </c>
      <c r="D165" s="203" t="s">
        <v>838</v>
      </c>
      <c r="E165" s="153"/>
      <c r="F165" s="154"/>
      <c r="G165" s="153"/>
      <c r="H165" s="155"/>
      <c r="I165" s="155"/>
      <c r="J165" s="155"/>
      <c r="K165" s="155"/>
      <c r="L165" s="154"/>
      <c r="M165" s="153"/>
      <c r="N165" s="154"/>
      <c r="O165" s="153"/>
      <c r="P165" s="154"/>
      <c r="Q165" s="153"/>
      <c r="R165" s="154"/>
      <c r="S165" s="153"/>
      <c r="T165" s="154"/>
      <c r="U165" s="219">
        <f t="shared" si="4"/>
        <v>0</v>
      </c>
      <c r="V165" s="219">
        <f t="shared" si="5"/>
        <v>0</v>
      </c>
    </row>
    <row r="166" spans="1:23" s="156" customFormat="1" ht="15.75" customHeight="1">
      <c r="A166" s="201" t="s">
        <v>188</v>
      </c>
      <c r="B166" s="202" t="s">
        <v>198</v>
      </c>
      <c r="C166" s="202" t="s">
        <v>199</v>
      </c>
      <c r="D166" s="203" t="s">
        <v>839</v>
      </c>
      <c r="E166" s="153">
        <v>0</v>
      </c>
      <c r="F166" s="154"/>
      <c r="G166" s="153">
        <v>0</v>
      </c>
      <c r="H166" s="155"/>
      <c r="I166" s="155">
        <v>0</v>
      </c>
      <c r="J166" s="155"/>
      <c r="K166" s="155">
        <v>3500</v>
      </c>
      <c r="L166" s="154"/>
      <c r="M166" s="153">
        <f>2000*0.8</f>
        <v>1600</v>
      </c>
      <c r="N166" s="154"/>
      <c r="O166" s="153">
        <f>2000*0.1</f>
        <v>200</v>
      </c>
      <c r="P166" s="154"/>
      <c r="Q166" s="153">
        <f>2000*0.05</f>
        <v>100</v>
      </c>
      <c r="R166" s="154"/>
      <c r="S166" s="153">
        <f>2000*0.05</f>
        <v>100</v>
      </c>
      <c r="T166" s="154"/>
      <c r="U166" s="152">
        <f t="shared" si="4"/>
        <v>2000</v>
      </c>
      <c r="V166" s="219">
        <f t="shared" si="5"/>
        <v>0</v>
      </c>
      <c r="W166" s="223">
        <f>SUM(U36:U165)</f>
        <v>151752</v>
      </c>
    </row>
    <row r="167" spans="1:23" s="156" customFormat="1" ht="15.75" customHeight="1">
      <c r="A167" s="201" t="s">
        <v>188</v>
      </c>
      <c r="B167" s="202" t="s">
        <v>198</v>
      </c>
      <c r="C167" s="202" t="s">
        <v>200</v>
      </c>
      <c r="D167" s="203" t="s">
        <v>840</v>
      </c>
      <c r="E167" s="153"/>
      <c r="F167" s="154"/>
      <c r="G167" s="153"/>
      <c r="H167" s="155"/>
      <c r="I167" s="155"/>
      <c r="J167" s="155"/>
      <c r="K167" s="155"/>
      <c r="L167" s="154"/>
      <c r="M167" s="153"/>
      <c r="N167" s="154"/>
      <c r="O167" s="153"/>
      <c r="P167" s="154"/>
      <c r="Q167" s="153"/>
      <c r="R167" s="154"/>
      <c r="S167" s="153"/>
      <c r="T167" s="154"/>
      <c r="U167" s="219">
        <f t="shared" si="4"/>
        <v>0</v>
      </c>
      <c r="V167" s="219">
        <f t="shared" si="5"/>
        <v>0</v>
      </c>
    </row>
    <row r="168" spans="1:23" s="156" customFormat="1" ht="15.75" customHeight="1">
      <c r="A168" s="201" t="s">
        <v>188</v>
      </c>
      <c r="B168" s="202" t="s">
        <v>198</v>
      </c>
      <c r="C168" s="201" t="s">
        <v>201</v>
      </c>
      <c r="D168" s="203" t="s">
        <v>841</v>
      </c>
      <c r="E168" s="153"/>
      <c r="F168" s="154"/>
      <c r="G168" s="153"/>
      <c r="H168" s="155"/>
      <c r="I168" s="155"/>
      <c r="J168" s="155"/>
      <c r="K168" s="155"/>
      <c r="L168" s="154"/>
      <c r="M168" s="153"/>
      <c r="N168" s="154"/>
      <c r="O168" s="153"/>
      <c r="P168" s="154"/>
      <c r="Q168" s="153"/>
      <c r="R168" s="154"/>
      <c r="S168" s="153"/>
      <c r="T168" s="154"/>
      <c r="U168" s="219">
        <f t="shared" si="4"/>
        <v>0</v>
      </c>
      <c r="V168" s="219">
        <f t="shared" si="5"/>
        <v>0</v>
      </c>
    </row>
    <row r="169" spans="1:23" s="156" customFormat="1" ht="15.75" customHeight="1">
      <c r="A169" s="201" t="s">
        <v>188</v>
      </c>
      <c r="B169" s="202" t="s">
        <v>198</v>
      </c>
      <c r="C169" s="201" t="s">
        <v>202</v>
      </c>
      <c r="D169" s="203" t="s">
        <v>842</v>
      </c>
      <c r="E169" s="153"/>
      <c r="F169" s="154"/>
      <c r="G169" s="153"/>
      <c r="H169" s="155"/>
      <c r="I169" s="155"/>
      <c r="J169" s="155"/>
      <c r="K169" s="155"/>
      <c r="L169" s="154"/>
      <c r="M169" s="153"/>
      <c r="N169" s="154"/>
      <c r="O169" s="153"/>
      <c r="P169" s="154"/>
      <c r="Q169" s="153"/>
      <c r="R169" s="154"/>
      <c r="S169" s="153"/>
      <c r="T169" s="154"/>
      <c r="U169" s="219">
        <f t="shared" si="4"/>
        <v>0</v>
      </c>
      <c r="V169" s="219">
        <f t="shared" si="5"/>
        <v>0</v>
      </c>
    </row>
    <row r="170" spans="1:23" s="156" customFormat="1" ht="15.75" customHeight="1">
      <c r="A170" s="201" t="s">
        <v>188</v>
      </c>
      <c r="B170" s="202" t="s">
        <v>198</v>
      </c>
      <c r="C170" s="201" t="s">
        <v>203</v>
      </c>
      <c r="D170" s="203" t="s">
        <v>843</v>
      </c>
      <c r="E170" s="153"/>
      <c r="F170" s="154"/>
      <c r="G170" s="153"/>
      <c r="H170" s="155"/>
      <c r="I170" s="155"/>
      <c r="J170" s="155"/>
      <c r="K170" s="155"/>
      <c r="L170" s="154"/>
      <c r="M170" s="153"/>
      <c r="N170" s="154"/>
      <c r="O170" s="153"/>
      <c r="P170" s="154"/>
      <c r="Q170" s="153"/>
      <c r="R170" s="154"/>
      <c r="S170" s="153"/>
      <c r="T170" s="154"/>
      <c r="U170" s="219">
        <f t="shared" si="4"/>
        <v>0</v>
      </c>
      <c r="V170" s="219">
        <f t="shared" si="5"/>
        <v>0</v>
      </c>
    </row>
    <row r="171" spans="1:23" s="156" customFormat="1" ht="15.75" customHeight="1">
      <c r="A171" s="201" t="s">
        <v>25</v>
      </c>
      <c r="B171" s="202" t="s">
        <v>25</v>
      </c>
      <c r="C171" s="201" t="s">
        <v>204</v>
      </c>
      <c r="D171" s="203" t="s">
        <v>844</v>
      </c>
      <c r="E171" s="153"/>
      <c r="F171" s="154"/>
      <c r="G171" s="153"/>
      <c r="H171" s="155"/>
      <c r="I171" s="155"/>
      <c r="J171" s="155"/>
      <c r="K171" s="155"/>
      <c r="L171" s="154"/>
      <c r="M171" s="153"/>
      <c r="N171" s="154"/>
      <c r="O171" s="153"/>
      <c r="P171" s="154"/>
      <c r="Q171" s="153"/>
      <c r="R171" s="154"/>
      <c r="S171" s="153"/>
      <c r="T171" s="154"/>
      <c r="U171" s="219">
        <f t="shared" si="4"/>
        <v>0</v>
      </c>
      <c r="V171" s="219">
        <f t="shared" si="5"/>
        <v>0</v>
      </c>
    </row>
    <row r="172" spans="1:23" s="156" customFormat="1" ht="15.75" customHeight="1">
      <c r="A172" s="201" t="s">
        <v>25</v>
      </c>
      <c r="B172" s="202" t="s">
        <v>25</v>
      </c>
      <c r="C172" s="202" t="s">
        <v>625</v>
      </c>
      <c r="D172" s="203" t="s">
        <v>845</v>
      </c>
      <c r="E172" s="153"/>
      <c r="F172" s="154"/>
      <c r="G172" s="153"/>
      <c r="H172" s="155"/>
      <c r="I172" s="155"/>
      <c r="J172" s="155"/>
      <c r="K172" s="155"/>
      <c r="L172" s="154"/>
      <c r="M172" s="153"/>
      <c r="N172" s="154"/>
      <c r="O172" s="153"/>
      <c r="P172" s="154"/>
      <c r="Q172" s="153"/>
      <c r="R172" s="154"/>
      <c r="S172" s="153"/>
      <c r="T172" s="154"/>
      <c r="U172" s="219">
        <f t="shared" si="4"/>
        <v>0</v>
      </c>
      <c r="V172" s="219">
        <f t="shared" si="5"/>
        <v>0</v>
      </c>
    </row>
    <row r="173" spans="1:23" s="156" customFormat="1" ht="15.75" customHeight="1">
      <c r="A173" s="201" t="s">
        <v>25</v>
      </c>
      <c r="B173" s="202" t="s">
        <v>25</v>
      </c>
      <c r="C173" s="202" t="s">
        <v>626</v>
      </c>
      <c r="D173" s="203" t="s">
        <v>846</v>
      </c>
      <c r="E173" s="153"/>
      <c r="F173" s="154"/>
      <c r="G173" s="153"/>
      <c r="H173" s="155"/>
      <c r="I173" s="155"/>
      <c r="J173" s="155"/>
      <c r="K173" s="155"/>
      <c r="L173" s="154"/>
      <c r="M173" s="153"/>
      <c r="N173" s="154"/>
      <c r="O173" s="153"/>
      <c r="P173" s="154"/>
      <c r="Q173" s="153"/>
      <c r="R173" s="154"/>
      <c r="S173" s="153"/>
      <c r="T173" s="154"/>
      <c r="U173" s="219">
        <f t="shared" si="4"/>
        <v>0</v>
      </c>
      <c r="V173" s="219">
        <f t="shared" si="5"/>
        <v>0</v>
      </c>
    </row>
    <row r="174" spans="1:23" s="156" customFormat="1" ht="15.75" customHeight="1">
      <c r="A174" s="201" t="s">
        <v>25</v>
      </c>
      <c r="B174" s="202" t="s">
        <v>25</v>
      </c>
      <c r="C174" s="202" t="s">
        <v>627</v>
      </c>
      <c r="D174" s="203" t="s">
        <v>847</v>
      </c>
      <c r="E174" s="153"/>
      <c r="F174" s="154"/>
      <c r="G174" s="153"/>
      <c r="H174" s="155"/>
      <c r="I174" s="155"/>
      <c r="J174" s="155"/>
      <c r="K174" s="155"/>
      <c r="L174" s="154"/>
      <c r="M174" s="153"/>
      <c r="N174" s="154"/>
      <c r="O174" s="153"/>
      <c r="P174" s="154"/>
      <c r="Q174" s="153"/>
      <c r="R174" s="154"/>
      <c r="S174" s="153"/>
      <c r="T174" s="154"/>
      <c r="U174" s="219">
        <f t="shared" si="4"/>
        <v>0</v>
      </c>
      <c r="V174" s="219">
        <f t="shared" si="5"/>
        <v>0</v>
      </c>
    </row>
    <row r="175" spans="1:23" s="156" customFormat="1" ht="15.75" customHeight="1">
      <c r="A175" s="201" t="s">
        <v>25</v>
      </c>
      <c r="B175" s="202" t="s">
        <v>25</v>
      </c>
      <c r="C175" s="202" t="s">
        <v>205</v>
      </c>
      <c r="D175" s="203" t="s">
        <v>848</v>
      </c>
      <c r="E175" s="153"/>
      <c r="F175" s="154"/>
      <c r="G175" s="153"/>
      <c r="H175" s="155"/>
      <c r="I175" s="155"/>
      <c r="J175" s="155"/>
      <c r="K175" s="155"/>
      <c r="L175" s="154"/>
      <c r="M175" s="153"/>
      <c r="N175" s="154"/>
      <c r="O175" s="153"/>
      <c r="P175" s="154"/>
      <c r="Q175" s="153"/>
      <c r="R175" s="154"/>
      <c r="S175" s="153"/>
      <c r="T175" s="154"/>
      <c r="U175" s="219">
        <f t="shared" si="4"/>
        <v>0</v>
      </c>
      <c r="V175" s="219">
        <f t="shared" si="5"/>
        <v>0</v>
      </c>
    </row>
    <row r="176" spans="1:23" s="156" customFormat="1" ht="15.75" customHeight="1">
      <c r="A176" s="201" t="s">
        <v>25</v>
      </c>
      <c r="B176" s="202" t="s">
        <v>25</v>
      </c>
      <c r="C176" s="201" t="s">
        <v>206</v>
      </c>
      <c r="D176" s="203" t="s">
        <v>849</v>
      </c>
      <c r="E176" s="153"/>
      <c r="F176" s="154"/>
      <c r="G176" s="153"/>
      <c r="H176" s="155"/>
      <c r="I176" s="155"/>
      <c r="J176" s="155"/>
      <c r="K176" s="155"/>
      <c r="L176" s="154"/>
      <c r="M176" s="153"/>
      <c r="N176" s="154"/>
      <c r="O176" s="153"/>
      <c r="P176" s="154"/>
      <c r="Q176" s="153"/>
      <c r="R176" s="154"/>
      <c r="S176" s="153"/>
      <c r="T176" s="154"/>
      <c r="U176" s="219">
        <f t="shared" si="4"/>
        <v>0</v>
      </c>
      <c r="V176" s="219">
        <f t="shared" si="5"/>
        <v>0</v>
      </c>
    </row>
    <row r="177" spans="1:22" s="156" customFormat="1" ht="15">
      <c r="A177" s="201" t="s">
        <v>23</v>
      </c>
      <c r="B177" s="202" t="s">
        <v>207</v>
      </c>
      <c r="C177" s="202" t="s">
        <v>208</v>
      </c>
      <c r="D177" s="203" t="s">
        <v>850</v>
      </c>
      <c r="E177" s="153">
        <f>74440/13*12*0.1667+6517</f>
        <v>17971.598153846153</v>
      </c>
      <c r="F177" s="154"/>
      <c r="G177" s="153">
        <v>22919</v>
      </c>
      <c r="H177" s="155"/>
      <c r="I177" s="155">
        <v>15120</v>
      </c>
      <c r="J177" s="155"/>
      <c r="K177" s="155">
        <v>22681</v>
      </c>
      <c r="L177" s="154"/>
      <c r="M177" s="153">
        <v>17411</v>
      </c>
      <c r="N177" s="154"/>
      <c r="O177" s="153">
        <v>2441</v>
      </c>
      <c r="P177" s="154"/>
      <c r="Q177" s="153">
        <v>5080</v>
      </c>
      <c r="R177" s="154"/>
      <c r="S177" s="153">
        <v>601</v>
      </c>
      <c r="T177" s="154"/>
      <c r="U177" s="152">
        <f t="shared" si="4"/>
        <v>25533</v>
      </c>
      <c r="V177" s="219">
        <f t="shared" si="5"/>
        <v>0</v>
      </c>
    </row>
    <row r="178" spans="1:22" s="156" customFormat="1" ht="15">
      <c r="A178" s="201" t="s">
        <v>23</v>
      </c>
      <c r="B178" s="202" t="s">
        <v>207</v>
      </c>
      <c r="C178" s="202" t="s">
        <v>209</v>
      </c>
      <c r="D178" s="203" t="s">
        <v>851</v>
      </c>
      <c r="E178" s="153">
        <v>180</v>
      </c>
      <c r="F178" s="154"/>
      <c r="G178" s="153">
        <v>200</v>
      </c>
      <c r="H178" s="155"/>
      <c r="I178" s="155">
        <v>230</v>
      </c>
      <c r="J178" s="155"/>
      <c r="K178" s="155">
        <v>230</v>
      </c>
      <c r="L178" s="154"/>
      <c r="M178" s="153">
        <f>303*0.68</f>
        <v>206.04000000000002</v>
      </c>
      <c r="N178" s="154"/>
      <c r="O178" s="153">
        <f>303*0.09</f>
        <v>27.27</v>
      </c>
      <c r="P178" s="154"/>
      <c r="Q178" s="153">
        <f>303*0.2</f>
        <v>60.6</v>
      </c>
      <c r="R178" s="154"/>
      <c r="S178" s="153">
        <f>303*0.03</f>
        <v>9.09</v>
      </c>
      <c r="T178" s="154"/>
      <c r="U178" s="152">
        <f t="shared" si="4"/>
        <v>303</v>
      </c>
      <c r="V178" s="219">
        <f t="shared" si="5"/>
        <v>0</v>
      </c>
    </row>
    <row r="179" spans="1:22" s="156" customFormat="1" ht="15">
      <c r="A179" s="201" t="s">
        <v>23</v>
      </c>
      <c r="B179" s="202" t="s">
        <v>207</v>
      </c>
      <c r="C179" s="202" t="s">
        <v>210</v>
      </c>
      <c r="D179" s="203" t="s">
        <v>852</v>
      </c>
      <c r="E179" s="153">
        <v>2031</v>
      </c>
      <c r="F179" s="154"/>
      <c r="G179" s="153">
        <v>3900</v>
      </c>
      <c r="H179" s="155"/>
      <c r="I179" s="155">
        <v>2600</v>
      </c>
      <c r="J179" s="155"/>
      <c r="K179" s="155">
        <v>3899</v>
      </c>
      <c r="L179" s="154"/>
      <c r="M179" s="153">
        <f>4484*0.8</f>
        <v>3587.2000000000003</v>
      </c>
      <c r="N179" s="154"/>
      <c r="O179" s="153">
        <f>4484*0.1</f>
        <v>448.40000000000003</v>
      </c>
      <c r="P179" s="154"/>
      <c r="Q179" s="153">
        <f>4484*0.05</f>
        <v>224.20000000000002</v>
      </c>
      <c r="R179" s="154"/>
      <c r="S179" s="153">
        <f>4484*0.05</f>
        <v>224.20000000000002</v>
      </c>
      <c r="T179" s="154"/>
      <c r="U179" s="152">
        <f t="shared" si="4"/>
        <v>4484</v>
      </c>
      <c r="V179" s="219">
        <f t="shared" si="5"/>
        <v>0</v>
      </c>
    </row>
    <row r="180" spans="1:22" s="156" customFormat="1" ht="15">
      <c r="A180" s="201" t="s">
        <v>23</v>
      </c>
      <c r="B180" s="202" t="s">
        <v>207</v>
      </c>
      <c r="C180" s="202" t="s">
        <v>211</v>
      </c>
      <c r="D180" s="203" t="s">
        <v>853</v>
      </c>
      <c r="E180" s="153">
        <v>2759</v>
      </c>
      <c r="F180" s="154"/>
      <c r="G180" s="153">
        <v>0</v>
      </c>
      <c r="H180" s="155"/>
      <c r="I180" s="155">
        <v>1566</v>
      </c>
      <c r="J180" s="155"/>
      <c r="K180" s="155">
        <v>3253</v>
      </c>
      <c r="L180" s="154"/>
      <c r="M180" s="153">
        <v>6311</v>
      </c>
      <c r="N180" s="154"/>
      <c r="O180" s="153">
        <v>1400</v>
      </c>
      <c r="P180" s="154"/>
      <c r="Q180" s="153">
        <v>0</v>
      </c>
      <c r="R180" s="154"/>
      <c r="S180" s="153">
        <v>0</v>
      </c>
      <c r="T180" s="154"/>
      <c r="U180" s="152">
        <f t="shared" si="4"/>
        <v>7711</v>
      </c>
      <c r="V180" s="219">
        <f t="shared" si="5"/>
        <v>0</v>
      </c>
    </row>
    <row r="181" spans="1:22" s="156" customFormat="1" ht="15">
      <c r="A181" s="201" t="s">
        <v>23</v>
      </c>
      <c r="B181" s="202" t="s">
        <v>207</v>
      </c>
      <c r="C181" s="202" t="s">
        <v>212</v>
      </c>
      <c r="D181" s="203" t="s">
        <v>854</v>
      </c>
      <c r="E181" s="153"/>
      <c r="F181" s="154"/>
      <c r="G181" s="153"/>
      <c r="H181" s="155"/>
      <c r="I181" s="155"/>
      <c r="J181" s="155"/>
      <c r="K181" s="155"/>
      <c r="L181" s="154"/>
      <c r="M181" s="153"/>
      <c r="N181" s="154"/>
      <c r="O181" s="153"/>
      <c r="P181" s="154"/>
      <c r="Q181" s="153"/>
      <c r="R181" s="154"/>
      <c r="S181" s="153"/>
      <c r="T181" s="154"/>
      <c r="U181" s="219">
        <f t="shared" si="4"/>
        <v>0</v>
      </c>
      <c r="V181" s="219">
        <f t="shared" si="5"/>
        <v>0</v>
      </c>
    </row>
    <row r="182" spans="1:22" s="156" customFormat="1" ht="15">
      <c r="A182" s="201" t="s">
        <v>23</v>
      </c>
      <c r="B182" s="202" t="s">
        <v>213</v>
      </c>
      <c r="C182" s="202" t="s">
        <v>214</v>
      </c>
      <c r="D182" s="203" t="s">
        <v>855</v>
      </c>
      <c r="E182" s="153"/>
      <c r="F182" s="154"/>
      <c r="G182" s="153"/>
      <c r="H182" s="155"/>
      <c r="I182" s="155"/>
      <c r="J182" s="155"/>
      <c r="K182" s="155"/>
      <c r="L182" s="154"/>
      <c r="M182" s="153"/>
      <c r="N182" s="154"/>
      <c r="O182" s="153"/>
      <c r="P182" s="154"/>
      <c r="Q182" s="153"/>
      <c r="R182" s="154"/>
      <c r="S182" s="153"/>
      <c r="T182" s="154"/>
      <c r="U182" s="219">
        <f t="shared" si="4"/>
        <v>0</v>
      </c>
      <c r="V182" s="219">
        <f t="shared" si="5"/>
        <v>0</v>
      </c>
    </row>
    <row r="183" spans="1:22" s="156" customFormat="1" ht="15">
      <c r="A183" s="201" t="s">
        <v>23</v>
      </c>
      <c r="B183" s="202" t="s">
        <v>213</v>
      </c>
      <c r="C183" s="202" t="s">
        <v>215</v>
      </c>
      <c r="D183" s="203" t="s">
        <v>856</v>
      </c>
      <c r="E183" s="153"/>
      <c r="F183" s="154"/>
      <c r="G183" s="153"/>
      <c r="H183" s="155"/>
      <c r="I183" s="155"/>
      <c r="J183" s="155"/>
      <c r="K183" s="155"/>
      <c r="L183" s="154"/>
      <c r="M183" s="153"/>
      <c r="N183" s="154"/>
      <c r="O183" s="153"/>
      <c r="P183" s="154"/>
      <c r="Q183" s="153"/>
      <c r="R183" s="154"/>
      <c r="S183" s="153"/>
      <c r="T183" s="154"/>
      <c r="U183" s="219">
        <f t="shared" si="4"/>
        <v>0</v>
      </c>
      <c r="V183" s="219">
        <f t="shared" si="5"/>
        <v>0</v>
      </c>
    </row>
    <row r="184" spans="1:22" s="156" customFormat="1" ht="15">
      <c r="A184" s="201" t="s">
        <v>23</v>
      </c>
      <c r="B184" s="202" t="s">
        <v>213</v>
      </c>
      <c r="C184" s="202" t="s">
        <v>216</v>
      </c>
      <c r="D184" s="203" t="s">
        <v>857</v>
      </c>
      <c r="E184" s="153"/>
      <c r="F184" s="154"/>
      <c r="G184" s="153"/>
      <c r="H184" s="155"/>
      <c r="I184" s="155"/>
      <c r="J184" s="155"/>
      <c r="K184" s="155"/>
      <c r="L184" s="154"/>
      <c r="M184" s="153"/>
      <c r="N184" s="154"/>
      <c r="O184" s="153"/>
      <c r="P184" s="154"/>
      <c r="Q184" s="153"/>
      <c r="R184" s="154"/>
      <c r="S184" s="153"/>
      <c r="T184" s="154"/>
      <c r="U184" s="219">
        <f t="shared" si="4"/>
        <v>0</v>
      </c>
      <c r="V184" s="219">
        <f t="shared" si="5"/>
        <v>0</v>
      </c>
    </row>
    <row r="185" spans="1:22" s="156" customFormat="1" ht="15">
      <c r="A185" s="201" t="s">
        <v>23</v>
      </c>
      <c r="B185" s="202" t="s">
        <v>213</v>
      </c>
      <c r="C185" s="202" t="s">
        <v>217</v>
      </c>
      <c r="D185" s="203" t="s">
        <v>858</v>
      </c>
      <c r="E185" s="153">
        <f>199</f>
        <v>199</v>
      </c>
      <c r="F185" s="154"/>
      <c r="G185" s="153">
        <v>39</v>
      </c>
      <c r="H185" s="155"/>
      <c r="I185" s="155">
        <v>37</v>
      </c>
      <c r="J185" s="155"/>
      <c r="K185" s="155">
        <v>56</v>
      </c>
      <c r="L185" s="154"/>
      <c r="M185" s="153">
        <v>49</v>
      </c>
      <c r="N185" s="154"/>
      <c r="O185" s="153">
        <v>7</v>
      </c>
      <c r="P185" s="154"/>
      <c r="Q185" s="153">
        <v>15</v>
      </c>
      <c r="R185" s="154"/>
      <c r="S185" s="153">
        <v>1</v>
      </c>
      <c r="T185" s="154"/>
      <c r="U185" s="152">
        <f t="shared" si="4"/>
        <v>72</v>
      </c>
      <c r="V185" s="219">
        <f t="shared" si="5"/>
        <v>0</v>
      </c>
    </row>
    <row r="186" spans="1:22" s="156" customFormat="1" ht="15">
      <c r="A186" s="201" t="s">
        <v>23</v>
      </c>
      <c r="B186" s="202" t="s">
        <v>213</v>
      </c>
      <c r="C186" s="202" t="s">
        <v>218</v>
      </c>
      <c r="D186" s="203" t="s">
        <v>859</v>
      </c>
      <c r="E186" s="153">
        <v>800</v>
      </c>
      <c r="F186" s="154"/>
      <c r="G186" s="153">
        <v>0</v>
      </c>
      <c r="H186" s="155"/>
      <c r="I186" s="155"/>
      <c r="J186" s="155"/>
      <c r="K186" s="155"/>
      <c r="L186" s="154"/>
      <c r="M186" s="153"/>
      <c r="N186" s="154"/>
      <c r="O186" s="153"/>
      <c r="P186" s="154"/>
      <c r="Q186" s="153"/>
      <c r="R186" s="154"/>
      <c r="S186" s="153"/>
      <c r="T186" s="154"/>
      <c r="U186" s="219">
        <f t="shared" si="4"/>
        <v>0</v>
      </c>
      <c r="V186" s="219">
        <f t="shared" si="5"/>
        <v>0</v>
      </c>
    </row>
    <row r="187" spans="1:22" s="156" customFormat="1" ht="15">
      <c r="A187" s="201" t="s">
        <v>23</v>
      </c>
      <c r="B187" s="202" t="s">
        <v>213</v>
      </c>
      <c r="C187" s="202" t="s">
        <v>219</v>
      </c>
      <c r="D187" s="203" t="s">
        <v>860</v>
      </c>
      <c r="E187" s="153"/>
      <c r="F187" s="154"/>
      <c r="G187" s="153"/>
      <c r="H187" s="155"/>
      <c r="I187" s="155"/>
      <c r="J187" s="155"/>
      <c r="K187" s="155"/>
      <c r="L187" s="154"/>
      <c r="M187" s="153"/>
      <c r="N187" s="154"/>
      <c r="O187" s="153"/>
      <c r="P187" s="154"/>
      <c r="Q187" s="153"/>
      <c r="R187" s="154"/>
      <c r="S187" s="153"/>
      <c r="T187" s="154"/>
      <c r="U187" s="219">
        <f t="shared" si="4"/>
        <v>0</v>
      </c>
      <c r="V187" s="219">
        <f t="shared" si="5"/>
        <v>0</v>
      </c>
    </row>
    <row r="188" spans="1:22" s="156" customFormat="1" ht="15">
      <c r="A188" s="201" t="s">
        <v>23</v>
      </c>
      <c r="B188" s="202" t="s">
        <v>213</v>
      </c>
      <c r="C188" s="202" t="s">
        <v>220</v>
      </c>
      <c r="D188" s="203" t="s">
        <v>861</v>
      </c>
      <c r="E188" s="153">
        <v>817</v>
      </c>
      <c r="F188" s="154"/>
      <c r="G188" s="153">
        <v>0</v>
      </c>
      <c r="H188" s="155"/>
      <c r="I188" s="155">
        <v>0</v>
      </c>
      <c r="J188" s="155"/>
      <c r="K188" s="155">
        <v>0</v>
      </c>
      <c r="L188" s="154"/>
      <c r="M188" s="153">
        <v>1096</v>
      </c>
      <c r="N188" s="154"/>
      <c r="O188" s="153">
        <v>152</v>
      </c>
      <c r="P188" s="154"/>
      <c r="Q188" s="153">
        <v>311</v>
      </c>
      <c r="R188" s="154"/>
      <c r="S188" s="153">
        <v>41</v>
      </c>
      <c r="T188" s="154"/>
      <c r="U188" s="219">
        <v>0</v>
      </c>
      <c r="V188" s="219">
        <f t="shared" si="5"/>
        <v>0</v>
      </c>
    </row>
    <row r="189" spans="1:22" s="156" customFormat="1" ht="15">
      <c r="A189" s="201" t="s">
        <v>23</v>
      </c>
      <c r="B189" s="202" t="s">
        <v>213</v>
      </c>
      <c r="C189" s="202" t="s">
        <v>221</v>
      </c>
      <c r="D189" s="203" t="s">
        <v>862</v>
      </c>
      <c r="E189" s="153">
        <v>0</v>
      </c>
      <c r="F189" s="154"/>
      <c r="G189" s="153">
        <v>0</v>
      </c>
      <c r="H189" s="155"/>
      <c r="I189" s="155">
        <v>0</v>
      </c>
      <c r="J189" s="155"/>
      <c r="K189" s="155">
        <v>0</v>
      </c>
      <c r="L189" s="154"/>
      <c r="M189" s="153">
        <f>100*0.8</f>
        <v>80</v>
      </c>
      <c r="N189" s="154"/>
      <c r="O189" s="153">
        <f>100*0.1</f>
        <v>10</v>
      </c>
      <c r="P189" s="154"/>
      <c r="Q189" s="153">
        <f>100*0.05</f>
        <v>5</v>
      </c>
      <c r="R189" s="154"/>
      <c r="S189" s="153">
        <f>100*0.05</f>
        <v>5</v>
      </c>
      <c r="T189" s="154"/>
      <c r="U189" s="152">
        <f t="shared" si="4"/>
        <v>100</v>
      </c>
      <c r="V189" s="219">
        <f t="shared" si="5"/>
        <v>0</v>
      </c>
    </row>
    <row r="190" spans="1:22" s="156" customFormat="1" ht="15">
      <c r="A190" s="201" t="s">
        <v>23</v>
      </c>
      <c r="B190" s="202" t="s">
        <v>213</v>
      </c>
      <c r="C190" s="202" t="s">
        <v>222</v>
      </c>
      <c r="D190" s="203" t="s">
        <v>863</v>
      </c>
      <c r="E190" s="153">
        <v>0</v>
      </c>
      <c r="F190" s="154"/>
      <c r="G190" s="153">
        <v>0</v>
      </c>
      <c r="H190" s="155"/>
      <c r="I190" s="155">
        <v>0</v>
      </c>
      <c r="J190" s="155"/>
      <c r="K190" s="155">
        <v>0</v>
      </c>
      <c r="L190" s="154"/>
      <c r="M190" s="153">
        <f>200*0.8</f>
        <v>160</v>
      </c>
      <c r="N190" s="154"/>
      <c r="O190" s="153">
        <f>200*0.1</f>
        <v>20</v>
      </c>
      <c r="P190" s="154"/>
      <c r="Q190" s="153">
        <f>200*0.05</f>
        <v>10</v>
      </c>
      <c r="R190" s="154"/>
      <c r="S190" s="153">
        <f>200*0.05</f>
        <v>10</v>
      </c>
      <c r="T190" s="154"/>
      <c r="U190" s="152">
        <f t="shared" si="4"/>
        <v>200</v>
      </c>
      <c r="V190" s="219">
        <f t="shared" si="5"/>
        <v>0</v>
      </c>
    </row>
    <row r="191" spans="1:22" s="156" customFormat="1" ht="15">
      <c r="A191" s="201" t="s">
        <v>23</v>
      </c>
      <c r="B191" s="202" t="s">
        <v>213</v>
      </c>
      <c r="C191" s="202" t="s">
        <v>223</v>
      </c>
      <c r="D191" s="203" t="s">
        <v>864</v>
      </c>
      <c r="E191" s="153">
        <v>0</v>
      </c>
      <c r="F191" s="154"/>
      <c r="G191" s="153">
        <v>0</v>
      </c>
      <c r="H191" s="155"/>
      <c r="I191" s="155">
        <v>0</v>
      </c>
      <c r="J191" s="155"/>
      <c r="K191" s="155">
        <v>0</v>
      </c>
      <c r="L191" s="154"/>
      <c r="M191" s="153">
        <f>200*0.8</f>
        <v>160</v>
      </c>
      <c r="N191" s="154"/>
      <c r="O191" s="153">
        <f>200*0.1</f>
        <v>20</v>
      </c>
      <c r="P191" s="154"/>
      <c r="Q191" s="153">
        <f>200*0.05</f>
        <v>10</v>
      </c>
      <c r="R191" s="154"/>
      <c r="S191" s="153">
        <f>200*0.05</f>
        <v>10</v>
      </c>
      <c r="T191" s="154"/>
      <c r="U191" s="152">
        <f t="shared" si="4"/>
        <v>200</v>
      </c>
      <c r="V191" s="219">
        <f t="shared" si="5"/>
        <v>0</v>
      </c>
    </row>
    <row r="192" spans="1:22" s="156" customFormat="1" ht="15">
      <c r="A192" s="201" t="s">
        <v>23</v>
      </c>
      <c r="B192" s="202" t="s">
        <v>213</v>
      </c>
      <c r="C192" s="202" t="s">
        <v>224</v>
      </c>
      <c r="D192" s="203" t="s">
        <v>865</v>
      </c>
      <c r="E192" s="153">
        <v>182</v>
      </c>
      <c r="F192" s="154"/>
      <c r="G192" s="153">
        <v>15</v>
      </c>
      <c r="H192" s="155"/>
      <c r="I192" s="155">
        <v>11</v>
      </c>
      <c r="J192" s="155"/>
      <c r="K192" s="155">
        <v>16</v>
      </c>
      <c r="L192" s="154"/>
      <c r="M192" s="153">
        <f>500*0.8</f>
        <v>400</v>
      </c>
      <c r="N192" s="154"/>
      <c r="O192" s="153">
        <f>500*0.1</f>
        <v>50</v>
      </c>
      <c r="P192" s="154"/>
      <c r="Q192" s="153">
        <f>500*0.05</f>
        <v>25</v>
      </c>
      <c r="R192" s="154"/>
      <c r="S192" s="153">
        <f>500*0.05</f>
        <v>25</v>
      </c>
      <c r="T192" s="154"/>
      <c r="U192" s="152">
        <f t="shared" si="4"/>
        <v>500</v>
      </c>
      <c r="V192" s="219">
        <f t="shared" si="5"/>
        <v>0</v>
      </c>
    </row>
    <row r="193" spans="1:23" s="156" customFormat="1" ht="15">
      <c r="A193" s="201" t="s">
        <v>23</v>
      </c>
      <c r="B193" s="202" t="s">
        <v>213</v>
      </c>
      <c r="C193" s="202" t="s">
        <v>225</v>
      </c>
      <c r="D193" s="203" t="s">
        <v>866</v>
      </c>
      <c r="E193" s="153">
        <v>0</v>
      </c>
      <c r="F193" s="154"/>
      <c r="G193" s="153"/>
      <c r="H193" s="155"/>
      <c r="I193" s="155"/>
      <c r="J193" s="155"/>
      <c r="K193" s="155"/>
      <c r="L193" s="154"/>
      <c r="M193" s="153"/>
      <c r="N193" s="154"/>
      <c r="O193" s="153"/>
      <c r="P193" s="154"/>
      <c r="Q193" s="153"/>
      <c r="R193" s="154"/>
      <c r="S193" s="153"/>
      <c r="T193" s="154"/>
      <c r="U193" s="219">
        <f t="shared" si="4"/>
        <v>0</v>
      </c>
      <c r="V193" s="219">
        <f t="shared" si="5"/>
        <v>0</v>
      </c>
    </row>
    <row r="194" spans="1:23" s="156" customFormat="1" ht="15">
      <c r="A194" s="201" t="s">
        <v>23</v>
      </c>
      <c r="B194" s="202" t="s">
        <v>213</v>
      </c>
      <c r="C194" s="202" t="s">
        <v>226</v>
      </c>
      <c r="D194" s="203" t="s">
        <v>867</v>
      </c>
      <c r="E194" s="153">
        <v>98</v>
      </c>
      <c r="F194" s="154"/>
      <c r="G194" s="153"/>
      <c r="H194" s="155"/>
      <c r="I194" s="155"/>
      <c r="J194" s="155"/>
      <c r="K194" s="155"/>
      <c r="L194" s="154"/>
      <c r="M194" s="153"/>
      <c r="N194" s="154"/>
      <c r="O194" s="153"/>
      <c r="P194" s="154"/>
      <c r="Q194" s="153"/>
      <c r="R194" s="154"/>
      <c r="S194" s="153"/>
      <c r="T194" s="154"/>
      <c r="U194" s="219">
        <f t="shared" si="4"/>
        <v>0</v>
      </c>
      <c r="V194" s="219">
        <f t="shared" si="5"/>
        <v>0</v>
      </c>
    </row>
    <row r="195" spans="1:23" s="156" customFormat="1" ht="15">
      <c r="A195" s="201" t="s">
        <v>23</v>
      </c>
      <c r="B195" s="202" t="s">
        <v>213</v>
      </c>
      <c r="C195" s="202" t="s">
        <v>227</v>
      </c>
      <c r="D195" s="203" t="s">
        <v>868</v>
      </c>
      <c r="E195" s="153">
        <v>0</v>
      </c>
      <c r="F195" s="154"/>
      <c r="G195" s="153">
        <v>0</v>
      </c>
      <c r="H195" s="155"/>
      <c r="I195" s="155">
        <v>0</v>
      </c>
      <c r="J195" s="155"/>
      <c r="K195" s="155">
        <v>0</v>
      </c>
      <c r="L195" s="154"/>
      <c r="M195" s="153">
        <f>1225*0.8</f>
        <v>980</v>
      </c>
      <c r="N195" s="154"/>
      <c r="O195" s="153">
        <f>1225*0.1</f>
        <v>122.5</v>
      </c>
      <c r="P195" s="154"/>
      <c r="Q195" s="153">
        <f>1225*0.05</f>
        <v>61.25</v>
      </c>
      <c r="R195" s="154"/>
      <c r="S195" s="153">
        <f>1225*0.05</f>
        <v>61.25</v>
      </c>
      <c r="T195" s="154"/>
      <c r="U195" s="152">
        <f t="shared" si="4"/>
        <v>1225</v>
      </c>
      <c r="V195" s="219">
        <f t="shared" si="5"/>
        <v>0</v>
      </c>
    </row>
    <row r="196" spans="1:23" s="156" customFormat="1" ht="15">
      <c r="A196" s="201" t="s">
        <v>23</v>
      </c>
      <c r="B196" s="202" t="s">
        <v>213</v>
      </c>
      <c r="C196" s="202" t="s">
        <v>228</v>
      </c>
      <c r="D196" s="203" t="s">
        <v>869</v>
      </c>
      <c r="E196" s="153"/>
      <c r="F196" s="154"/>
      <c r="G196" s="153"/>
      <c r="H196" s="155"/>
      <c r="I196" s="155"/>
      <c r="J196" s="155"/>
      <c r="K196" s="155"/>
      <c r="L196" s="154"/>
      <c r="M196" s="153"/>
      <c r="N196" s="154"/>
      <c r="O196" s="153"/>
      <c r="P196" s="154"/>
      <c r="Q196" s="153"/>
      <c r="R196" s="154"/>
      <c r="S196" s="153"/>
      <c r="T196" s="154"/>
      <c r="U196" s="219">
        <f t="shared" si="4"/>
        <v>0</v>
      </c>
      <c r="V196" s="219">
        <f t="shared" si="5"/>
        <v>0</v>
      </c>
    </row>
    <row r="197" spans="1:23" s="156" customFormat="1" ht="15">
      <c r="A197" s="201" t="s">
        <v>23</v>
      </c>
      <c r="B197" s="202" t="s">
        <v>213</v>
      </c>
      <c r="C197" s="202" t="s">
        <v>229</v>
      </c>
      <c r="D197" s="203" t="s">
        <v>870</v>
      </c>
      <c r="E197" s="153"/>
      <c r="F197" s="154"/>
      <c r="G197" s="153"/>
      <c r="H197" s="155"/>
      <c r="I197" s="155"/>
      <c r="J197" s="155"/>
      <c r="K197" s="155"/>
      <c r="L197" s="154"/>
      <c r="M197" s="153"/>
      <c r="N197" s="154"/>
      <c r="O197" s="153"/>
      <c r="P197" s="154"/>
      <c r="Q197" s="153"/>
      <c r="R197" s="154"/>
      <c r="S197" s="153"/>
      <c r="T197" s="154"/>
      <c r="U197" s="219">
        <f t="shared" si="4"/>
        <v>0</v>
      </c>
      <c r="V197" s="219">
        <f t="shared" si="5"/>
        <v>0</v>
      </c>
    </row>
    <row r="198" spans="1:23" s="156" customFormat="1" ht="15">
      <c r="A198" s="201" t="s">
        <v>23</v>
      </c>
      <c r="B198" s="202" t="s">
        <v>213</v>
      </c>
      <c r="C198" s="202" t="s">
        <v>230</v>
      </c>
      <c r="D198" s="203" t="s">
        <v>871</v>
      </c>
      <c r="E198" s="153"/>
      <c r="F198" s="154"/>
      <c r="G198" s="153"/>
      <c r="H198" s="155"/>
      <c r="I198" s="155"/>
      <c r="J198" s="155"/>
      <c r="K198" s="155"/>
      <c r="L198" s="154"/>
      <c r="M198" s="153"/>
      <c r="N198" s="154"/>
      <c r="O198" s="153"/>
      <c r="P198" s="154"/>
      <c r="Q198" s="153"/>
      <c r="R198" s="154"/>
      <c r="S198" s="153"/>
      <c r="T198" s="154"/>
      <c r="U198" s="219">
        <f t="shared" si="4"/>
        <v>0</v>
      </c>
      <c r="V198" s="219">
        <f t="shared" si="5"/>
        <v>0</v>
      </c>
    </row>
    <row r="199" spans="1:23" s="156" customFormat="1" ht="15">
      <c r="A199" s="201" t="s">
        <v>23</v>
      </c>
      <c r="B199" s="202" t="s">
        <v>213</v>
      </c>
      <c r="C199" s="202" t="s">
        <v>231</v>
      </c>
      <c r="D199" s="203" t="s">
        <v>872</v>
      </c>
      <c r="E199" s="153"/>
      <c r="F199" s="154"/>
      <c r="G199" s="153"/>
      <c r="H199" s="155"/>
      <c r="I199" s="155"/>
      <c r="J199" s="155"/>
      <c r="K199" s="155"/>
      <c r="L199" s="154"/>
      <c r="M199" s="153"/>
      <c r="N199" s="154"/>
      <c r="O199" s="153"/>
      <c r="P199" s="154"/>
      <c r="Q199" s="153"/>
      <c r="R199" s="154"/>
      <c r="S199" s="153"/>
      <c r="T199" s="154"/>
      <c r="U199" s="219">
        <f t="shared" si="4"/>
        <v>0</v>
      </c>
      <c r="V199" s="219">
        <f t="shared" si="5"/>
        <v>0</v>
      </c>
    </row>
    <row r="200" spans="1:23" s="156" customFormat="1" ht="15">
      <c r="A200" s="201" t="s">
        <v>23</v>
      </c>
      <c r="B200" s="202" t="s">
        <v>213</v>
      </c>
      <c r="C200" s="202" t="s">
        <v>232</v>
      </c>
      <c r="D200" s="203" t="s">
        <v>873</v>
      </c>
      <c r="E200" s="153">
        <v>0</v>
      </c>
      <c r="F200" s="154"/>
      <c r="G200" s="153">
        <v>0</v>
      </c>
      <c r="H200" s="155"/>
      <c r="I200" s="155">
        <v>0</v>
      </c>
      <c r="J200" s="155"/>
      <c r="K200" s="155">
        <v>0</v>
      </c>
      <c r="L200" s="154"/>
      <c r="M200" s="153">
        <f>200*0.8</f>
        <v>160</v>
      </c>
      <c r="N200" s="154"/>
      <c r="O200" s="153">
        <f>200*0.1</f>
        <v>20</v>
      </c>
      <c r="P200" s="154"/>
      <c r="Q200" s="153">
        <f>200*0.05</f>
        <v>10</v>
      </c>
      <c r="R200" s="154"/>
      <c r="S200" s="153">
        <f>200*0.05</f>
        <v>10</v>
      </c>
      <c r="T200" s="154"/>
      <c r="U200" s="152">
        <f t="shared" si="4"/>
        <v>200</v>
      </c>
      <c r="V200" s="219">
        <f t="shared" si="5"/>
        <v>0</v>
      </c>
    </row>
    <row r="201" spans="1:23" s="156" customFormat="1" ht="15">
      <c r="A201" s="201" t="s">
        <v>23</v>
      </c>
      <c r="B201" s="202" t="s">
        <v>213</v>
      </c>
      <c r="C201" s="202" t="s">
        <v>233</v>
      </c>
      <c r="D201" s="203" t="s">
        <v>874</v>
      </c>
      <c r="E201" s="153">
        <v>0</v>
      </c>
      <c r="F201" s="154"/>
      <c r="G201" s="153">
        <v>0</v>
      </c>
      <c r="H201" s="155"/>
      <c r="I201" s="155">
        <v>0</v>
      </c>
      <c r="J201" s="155"/>
      <c r="K201" s="155">
        <v>0</v>
      </c>
      <c r="L201" s="154"/>
      <c r="M201" s="153">
        <f>100*0.8</f>
        <v>80</v>
      </c>
      <c r="N201" s="154"/>
      <c r="O201" s="153">
        <f>100*0.1</f>
        <v>10</v>
      </c>
      <c r="P201" s="154"/>
      <c r="Q201" s="153">
        <f>100*0.05</f>
        <v>5</v>
      </c>
      <c r="R201" s="154"/>
      <c r="S201" s="153">
        <f>100*0.05</f>
        <v>5</v>
      </c>
      <c r="T201" s="154"/>
      <c r="U201" s="152">
        <f t="shared" ref="U201:U264" si="6">M201+O201+Q201+S201</f>
        <v>100</v>
      </c>
      <c r="V201" s="219">
        <f t="shared" ref="V201:V264" si="7">N201+P201+R201+T201</f>
        <v>0</v>
      </c>
    </row>
    <row r="202" spans="1:23" s="156" customFormat="1" ht="15">
      <c r="A202" s="201" t="s">
        <v>23</v>
      </c>
      <c r="B202" s="202" t="s">
        <v>213</v>
      </c>
      <c r="C202" s="202" t="s">
        <v>234</v>
      </c>
      <c r="D202" s="203" t="s">
        <v>875</v>
      </c>
      <c r="E202" s="153"/>
      <c r="F202" s="154"/>
      <c r="G202" s="153"/>
      <c r="H202" s="155"/>
      <c r="I202" s="155"/>
      <c r="J202" s="155"/>
      <c r="K202" s="155"/>
      <c r="L202" s="154"/>
      <c r="M202" s="153"/>
      <c r="N202" s="154"/>
      <c r="O202" s="153"/>
      <c r="P202" s="154"/>
      <c r="Q202" s="153"/>
      <c r="R202" s="154"/>
      <c r="S202" s="153"/>
      <c r="T202" s="154"/>
      <c r="U202" s="219">
        <f t="shared" si="6"/>
        <v>0</v>
      </c>
      <c r="V202" s="219">
        <f t="shared" si="7"/>
        <v>0</v>
      </c>
    </row>
    <row r="203" spans="1:23" s="156" customFormat="1" ht="15">
      <c r="A203" s="201" t="s">
        <v>23</v>
      </c>
      <c r="B203" s="202" t="s">
        <v>213</v>
      </c>
      <c r="C203" s="202" t="s">
        <v>235</v>
      </c>
      <c r="D203" s="203" t="s">
        <v>876</v>
      </c>
      <c r="E203" s="153"/>
      <c r="F203" s="154"/>
      <c r="G203" s="153"/>
      <c r="H203" s="155"/>
      <c r="I203" s="155"/>
      <c r="J203" s="155"/>
      <c r="K203" s="155"/>
      <c r="L203" s="154"/>
      <c r="M203" s="153"/>
      <c r="N203" s="154"/>
      <c r="O203" s="153"/>
      <c r="P203" s="154"/>
      <c r="Q203" s="153"/>
      <c r="R203" s="154"/>
      <c r="S203" s="153"/>
      <c r="T203" s="154"/>
      <c r="U203" s="219">
        <f t="shared" si="6"/>
        <v>0</v>
      </c>
      <c r="V203" s="219">
        <f t="shared" si="7"/>
        <v>0</v>
      </c>
    </row>
    <row r="204" spans="1:23" s="156" customFormat="1" ht="15">
      <c r="A204" s="201" t="s">
        <v>23</v>
      </c>
      <c r="B204" s="202" t="s">
        <v>213</v>
      </c>
      <c r="C204" s="202" t="s">
        <v>236</v>
      </c>
      <c r="D204" s="203" t="s">
        <v>877</v>
      </c>
      <c r="E204" s="153">
        <v>5261</v>
      </c>
      <c r="F204" s="154"/>
      <c r="G204" s="153">
        <v>0</v>
      </c>
      <c r="H204" s="155"/>
      <c r="I204" s="155">
        <v>3394</v>
      </c>
      <c r="J204" s="155"/>
      <c r="K204" s="155">
        <v>12338</v>
      </c>
      <c r="L204" s="154"/>
      <c r="M204" s="153">
        <v>10500</v>
      </c>
      <c r="N204" s="154"/>
      <c r="O204" s="153">
        <v>0</v>
      </c>
      <c r="P204" s="154"/>
      <c r="Q204" s="153">
        <v>1227</v>
      </c>
      <c r="R204" s="154"/>
      <c r="S204" s="153">
        <v>0</v>
      </c>
      <c r="T204" s="154"/>
      <c r="U204" s="152">
        <f t="shared" si="6"/>
        <v>11727</v>
      </c>
      <c r="V204" s="219">
        <f t="shared" si="7"/>
        <v>0</v>
      </c>
    </row>
    <row r="205" spans="1:23" s="156" customFormat="1" ht="15">
      <c r="A205" s="201" t="s">
        <v>23</v>
      </c>
      <c r="B205" s="202" t="s">
        <v>213</v>
      </c>
      <c r="C205" s="202" t="s">
        <v>1277</v>
      </c>
      <c r="D205" s="203" t="s">
        <v>878</v>
      </c>
      <c r="E205" s="153">
        <v>112</v>
      </c>
      <c r="F205" s="154"/>
      <c r="G205" s="153">
        <v>0</v>
      </c>
      <c r="H205" s="155"/>
      <c r="I205" s="155">
        <v>45</v>
      </c>
      <c r="J205" s="155"/>
      <c r="K205" s="155">
        <v>2095</v>
      </c>
      <c r="L205" s="154"/>
      <c r="M205" s="153">
        <v>1499</v>
      </c>
      <c r="N205" s="154"/>
      <c r="O205" s="153">
        <v>645</v>
      </c>
      <c r="P205" s="154"/>
      <c r="Q205" s="153">
        <v>360</v>
      </c>
      <c r="R205" s="154"/>
      <c r="S205" s="153">
        <v>46</v>
      </c>
      <c r="T205" s="154"/>
      <c r="U205" s="152">
        <f t="shared" si="6"/>
        <v>2550</v>
      </c>
      <c r="V205" s="219">
        <f t="shared" si="7"/>
        <v>0</v>
      </c>
      <c r="W205" s="223">
        <f>SUM(U177:U205)</f>
        <v>54905</v>
      </c>
    </row>
    <row r="206" spans="1:23" s="156" customFormat="1" ht="15">
      <c r="A206" s="201" t="s">
        <v>23</v>
      </c>
      <c r="B206" s="202" t="s">
        <v>213</v>
      </c>
      <c r="C206" s="202" t="s">
        <v>628</v>
      </c>
      <c r="D206" s="203" t="s">
        <v>879</v>
      </c>
      <c r="E206" s="153"/>
      <c r="F206" s="154"/>
      <c r="G206" s="153"/>
      <c r="H206" s="155"/>
      <c r="I206" s="155"/>
      <c r="J206" s="155"/>
      <c r="K206" s="155"/>
      <c r="L206" s="154"/>
      <c r="M206" s="153"/>
      <c r="N206" s="154"/>
      <c r="O206" s="153"/>
      <c r="P206" s="154"/>
      <c r="Q206" s="153"/>
      <c r="R206" s="154"/>
      <c r="S206" s="153"/>
      <c r="T206" s="154"/>
      <c r="U206" s="219">
        <f t="shared" si="6"/>
        <v>0</v>
      </c>
      <c r="V206" s="219">
        <f t="shared" si="7"/>
        <v>0</v>
      </c>
    </row>
    <row r="207" spans="1:23" s="156" customFormat="1" ht="15">
      <c r="A207" s="201" t="s">
        <v>23</v>
      </c>
      <c r="B207" s="202" t="s">
        <v>213</v>
      </c>
      <c r="C207" s="202" t="s">
        <v>237</v>
      </c>
      <c r="D207" s="203" t="s">
        <v>880</v>
      </c>
      <c r="E207" s="153"/>
      <c r="F207" s="154"/>
      <c r="G207" s="153"/>
      <c r="H207" s="155"/>
      <c r="I207" s="155"/>
      <c r="J207" s="155"/>
      <c r="K207" s="155"/>
      <c r="L207" s="154"/>
      <c r="M207" s="153"/>
      <c r="N207" s="154"/>
      <c r="O207" s="153"/>
      <c r="P207" s="154"/>
      <c r="Q207" s="153"/>
      <c r="R207" s="154"/>
      <c r="S207" s="153"/>
      <c r="T207" s="154"/>
      <c r="U207" s="219">
        <f t="shared" si="6"/>
        <v>0</v>
      </c>
      <c r="V207" s="219">
        <f t="shared" si="7"/>
        <v>0</v>
      </c>
    </row>
    <row r="208" spans="1:23" s="156" customFormat="1" ht="15">
      <c r="A208" s="201" t="s">
        <v>23</v>
      </c>
      <c r="B208" s="202" t="s">
        <v>238</v>
      </c>
      <c r="C208" s="202" t="s">
        <v>239</v>
      </c>
      <c r="D208" s="203" t="s">
        <v>881</v>
      </c>
      <c r="E208" s="153"/>
      <c r="F208" s="154"/>
      <c r="G208" s="153"/>
      <c r="H208" s="155"/>
      <c r="I208" s="155"/>
      <c r="J208" s="155"/>
      <c r="K208" s="155"/>
      <c r="L208" s="154"/>
      <c r="M208" s="153"/>
      <c r="N208" s="154"/>
      <c r="O208" s="153"/>
      <c r="P208" s="154"/>
      <c r="Q208" s="153"/>
      <c r="R208" s="154"/>
      <c r="S208" s="153"/>
      <c r="T208" s="154"/>
      <c r="U208" s="219">
        <f t="shared" si="6"/>
        <v>0</v>
      </c>
      <c r="V208" s="219">
        <f t="shared" si="7"/>
        <v>0</v>
      </c>
    </row>
    <row r="209" spans="1:22" s="156" customFormat="1" ht="15">
      <c r="A209" s="201" t="s">
        <v>23</v>
      </c>
      <c r="B209" s="202" t="s">
        <v>238</v>
      </c>
      <c r="C209" s="202" t="s">
        <v>240</v>
      </c>
      <c r="D209" s="203" t="s">
        <v>882</v>
      </c>
      <c r="E209" s="153"/>
      <c r="F209" s="154"/>
      <c r="G209" s="153"/>
      <c r="H209" s="155"/>
      <c r="I209" s="155"/>
      <c r="J209" s="155"/>
      <c r="K209" s="155"/>
      <c r="L209" s="154"/>
      <c r="M209" s="153"/>
      <c r="N209" s="154"/>
      <c r="O209" s="153"/>
      <c r="P209" s="154"/>
      <c r="Q209" s="153"/>
      <c r="R209" s="154"/>
      <c r="S209" s="153"/>
      <c r="T209" s="154"/>
      <c r="U209" s="219">
        <f t="shared" si="6"/>
        <v>0</v>
      </c>
      <c r="V209" s="219">
        <f t="shared" si="7"/>
        <v>0</v>
      </c>
    </row>
    <row r="210" spans="1:22" s="156" customFormat="1" ht="15">
      <c r="A210" s="201" t="s">
        <v>23</v>
      </c>
      <c r="B210" s="202" t="s">
        <v>238</v>
      </c>
      <c r="C210" s="202" t="s">
        <v>241</v>
      </c>
      <c r="D210" s="203" t="s">
        <v>883</v>
      </c>
      <c r="E210" s="153"/>
      <c r="F210" s="154"/>
      <c r="G210" s="153"/>
      <c r="H210" s="155"/>
      <c r="I210" s="155"/>
      <c r="J210" s="155"/>
      <c r="K210" s="155"/>
      <c r="L210" s="154"/>
      <c r="M210" s="153"/>
      <c r="N210" s="154"/>
      <c r="O210" s="153"/>
      <c r="P210" s="154"/>
      <c r="Q210" s="153"/>
      <c r="R210" s="154"/>
      <c r="S210" s="153"/>
      <c r="T210" s="154"/>
      <c r="U210" s="219">
        <f t="shared" si="6"/>
        <v>0</v>
      </c>
      <c r="V210" s="219">
        <f t="shared" si="7"/>
        <v>0</v>
      </c>
    </row>
    <row r="211" spans="1:22" s="156" customFormat="1" ht="15">
      <c r="A211" s="201" t="s">
        <v>23</v>
      </c>
      <c r="B211" s="202" t="s">
        <v>238</v>
      </c>
      <c r="C211" s="202" t="s">
        <v>1278</v>
      </c>
      <c r="D211" s="203" t="s">
        <v>884</v>
      </c>
      <c r="E211" s="153"/>
      <c r="F211" s="154"/>
      <c r="G211" s="153"/>
      <c r="H211" s="155"/>
      <c r="I211" s="155"/>
      <c r="J211" s="155"/>
      <c r="K211" s="155"/>
      <c r="L211" s="154"/>
      <c r="M211" s="153"/>
      <c r="N211" s="154"/>
      <c r="O211" s="153"/>
      <c r="P211" s="154"/>
      <c r="Q211" s="153"/>
      <c r="R211" s="154"/>
      <c r="S211" s="153"/>
      <c r="T211" s="154"/>
      <c r="U211" s="219">
        <f t="shared" si="6"/>
        <v>0</v>
      </c>
      <c r="V211" s="219">
        <f t="shared" si="7"/>
        <v>0</v>
      </c>
    </row>
    <row r="212" spans="1:22" s="156" customFormat="1" ht="15">
      <c r="A212" s="201" t="s">
        <v>23</v>
      </c>
      <c r="B212" s="202" t="s">
        <v>238</v>
      </c>
      <c r="C212" s="202" t="s">
        <v>1279</v>
      </c>
      <c r="D212" s="203" t="s">
        <v>885</v>
      </c>
      <c r="E212" s="153"/>
      <c r="F212" s="154"/>
      <c r="G212" s="153"/>
      <c r="H212" s="155"/>
      <c r="I212" s="155"/>
      <c r="J212" s="155"/>
      <c r="K212" s="155"/>
      <c r="L212" s="154"/>
      <c r="M212" s="153"/>
      <c r="N212" s="154"/>
      <c r="O212" s="153"/>
      <c r="P212" s="154"/>
      <c r="Q212" s="153"/>
      <c r="R212" s="154"/>
      <c r="S212" s="153"/>
      <c r="T212" s="154"/>
      <c r="U212" s="219">
        <f t="shared" si="6"/>
        <v>0</v>
      </c>
      <c r="V212" s="219">
        <f t="shared" si="7"/>
        <v>0</v>
      </c>
    </row>
    <row r="213" spans="1:22" s="156" customFormat="1" ht="15">
      <c r="A213" s="201" t="s">
        <v>23</v>
      </c>
      <c r="B213" s="202" t="s">
        <v>238</v>
      </c>
      <c r="C213" s="202" t="s">
        <v>242</v>
      </c>
      <c r="D213" s="203">
        <v>1050306</v>
      </c>
      <c r="E213" s="153"/>
      <c r="F213" s="154"/>
      <c r="G213" s="153"/>
      <c r="H213" s="155"/>
      <c r="I213" s="155"/>
      <c r="J213" s="155"/>
      <c r="K213" s="155"/>
      <c r="L213" s="154"/>
      <c r="M213" s="153"/>
      <c r="N213" s="154"/>
      <c r="O213" s="153"/>
      <c r="P213" s="154"/>
      <c r="Q213" s="153"/>
      <c r="R213" s="154"/>
      <c r="S213" s="153"/>
      <c r="T213" s="154"/>
      <c r="U213" s="219">
        <f t="shared" si="6"/>
        <v>0</v>
      </c>
      <c r="V213" s="219">
        <f t="shared" si="7"/>
        <v>0</v>
      </c>
    </row>
    <row r="214" spans="1:22" s="156" customFormat="1" ht="15">
      <c r="A214" s="201" t="s">
        <v>23</v>
      </c>
      <c r="B214" s="202" t="s">
        <v>238</v>
      </c>
      <c r="C214" s="202" t="s">
        <v>237</v>
      </c>
      <c r="D214" s="203" t="s">
        <v>886</v>
      </c>
      <c r="E214" s="153"/>
      <c r="F214" s="154"/>
      <c r="G214" s="153"/>
      <c r="H214" s="155"/>
      <c r="I214" s="155"/>
      <c r="J214" s="155"/>
      <c r="K214" s="155"/>
      <c r="L214" s="154"/>
      <c r="M214" s="153"/>
      <c r="N214" s="154"/>
      <c r="O214" s="153"/>
      <c r="P214" s="154"/>
      <c r="Q214" s="153"/>
      <c r="R214" s="154"/>
      <c r="S214" s="153"/>
      <c r="T214" s="154"/>
      <c r="U214" s="219">
        <f t="shared" si="6"/>
        <v>0</v>
      </c>
      <c r="V214" s="219">
        <f t="shared" si="7"/>
        <v>0</v>
      </c>
    </row>
    <row r="215" spans="1:22" s="156" customFormat="1" ht="15">
      <c r="A215" s="201" t="s">
        <v>24</v>
      </c>
      <c r="B215" s="202" t="s">
        <v>243</v>
      </c>
      <c r="C215" s="202" t="s">
        <v>244</v>
      </c>
      <c r="D215" s="203" t="s">
        <v>887</v>
      </c>
      <c r="E215" s="153"/>
      <c r="F215" s="154"/>
      <c r="G215" s="153"/>
      <c r="H215" s="155"/>
      <c r="I215" s="155"/>
      <c r="J215" s="155"/>
      <c r="K215" s="155"/>
      <c r="L215" s="154"/>
      <c r="M215" s="153"/>
      <c r="N215" s="154"/>
      <c r="O215" s="153"/>
      <c r="P215" s="154"/>
      <c r="Q215" s="153"/>
      <c r="R215" s="154"/>
      <c r="S215" s="153"/>
      <c r="T215" s="154"/>
      <c r="U215" s="219">
        <f t="shared" si="6"/>
        <v>0</v>
      </c>
      <c r="V215" s="219">
        <f t="shared" si="7"/>
        <v>0</v>
      </c>
    </row>
    <row r="216" spans="1:22" s="156" customFormat="1" ht="15">
      <c r="A216" s="201" t="s">
        <v>24</v>
      </c>
      <c r="B216" s="202" t="s">
        <v>243</v>
      </c>
      <c r="C216" s="202" t="s">
        <v>245</v>
      </c>
      <c r="D216" s="203" t="s">
        <v>888</v>
      </c>
      <c r="E216" s="153"/>
      <c r="F216" s="154"/>
      <c r="G216" s="153"/>
      <c r="H216" s="155"/>
      <c r="I216" s="155"/>
      <c r="J216" s="155"/>
      <c r="K216" s="155"/>
      <c r="L216" s="154"/>
      <c r="M216" s="153"/>
      <c r="N216" s="154"/>
      <c r="O216" s="153"/>
      <c r="P216" s="154"/>
      <c r="Q216" s="153"/>
      <c r="R216" s="154"/>
      <c r="S216" s="153"/>
      <c r="T216" s="154"/>
      <c r="U216" s="219">
        <f t="shared" si="6"/>
        <v>0</v>
      </c>
      <c r="V216" s="219">
        <f t="shared" si="7"/>
        <v>0</v>
      </c>
    </row>
    <row r="217" spans="1:22" s="156" customFormat="1" ht="15">
      <c r="A217" s="201" t="s">
        <v>24</v>
      </c>
      <c r="B217" s="202" t="s">
        <v>243</v>
      </c>
      <c r="C217" s="202" t="s">
        <v>246</v>
      </c>
      <c r="D217" s="203" t="s">
        <v>889</v>
      </c>
      <c r="E217" s="153"/>
      <c r="F217" s="154"/>
      <c r="G217" s="153"/>
      <c r="H217" s="155"/>
      <c r="I217" s="155"/>
      <c r="J217" s="155"/>
      <c r="K217" s="155"/>
      <c r="L217" s="154"/>
      <c r="M217" s="153"/>
      <c r="N217" s="154"/>
      <c r="O217" s="153"/>
      <c r="P217" s="154"/>
      <c r="Q217" s="153"/>
      <c r="R217" s="154"/>
      <c r="S217" s="153"/>
      <c r="T217" s="154"/>
      <c r="U217" s="219">
        <f t="shared" si="6"/>
        <v>0</v>
      </c>
      <c r="V217" s="219">
        <f t="shared" si="7"/>
        <v>0</v>
      </c>
    </row>
    <row r="218" spans="1:22" s="156" customFormat="1" ht="15">
      <c r="A218" s="201" t="s">
        <v>24</v>
      </c>
      <c r="B218" s="202" t="s">
        <v>243</v>
      </c>
      <c r="C218" s="202" t="s">
        <v>247</v>
      </c>
      <c r="D218" s="203" t="s">
        <v>890</v>
      </c>
      <c r="E218" s="153"/>
      <c r="F218" s="154"/>
      <c r="G218" s="153"/>
      <c r="H218" s="155"/>
      <c r="I218" s="155"/>
      <c r="J218" s="155"/>
      <c r="K218" s="155"/>
      <c r="L218" s="154"/>
      <c r="M218" s="153"/>
      <c r="N218" s="154"/>
      <c r="O218" s="153"/>
      <c r="P218" s="154"/>
      <c r="Q218" s="153"/>
      <c r="R218" s="154"/>
      <c r="S218" s="153"/>
      <c r="T218" s="154"/>
      <c r="U218" s="219">
        <f t="shared" si="6"/>
        <v>0</v>
      </c>
      <c r="V218" s="219">
        <f t="shared" si="7"/>
        <v>0</v>
      </c>
    </row>
    <row r="219" spans="1:22" s="156" customFormat="1" ht="15">
      <c r="A219" s="201" t="s">
        <v>24</v>
      </c>
      <c r="B219" s="202" t="s">
        <v>243</v>
      </c>
      <c r="C219" s="202" t="s">
        <v>248</v>
      </c>
      <c r="D219" s="203" t="s">
        <v>891</v>
      </c>
      <c r="E219" s="153"/>
      <c r="F219" s="154"/>
      <c r="G219" s="153"/>
      <c r="H219" s="155"/>
      <c r="I219" s="155"/>
      <c r="J219" s="155"/>
      <c r="K219" s="155"/>
      <c r="L219" s="154"/>
      <c r="M219" s="153"/>
      <c r="N219" s="154"/>
      <c r="O219" s="153"/>
      <c r="P219" s="154"/>
      <c r="Q219" s="153"/>
      <c r="R219" s="154"/>
      <c r="S219" s="153"/>
      <c r="T219" s="154"/>
      <c r="U219" s="219">
        <f t="shared" si="6"/>
        <v>0</v>
      </c>
      <c r="V219" s="219">
        <f t="shared" si="7"/>
        <v>0</v>
      </c>
    </row>
    <row r="220" spans="1:22" s="156" customFormat="1" ht="15">
      <c r="A220" s="201" t="s">
        <v>24</v>
      </c>
      <c r="B220" s="202" t="s">
        <v>249</v>
      </c>
      <c r="C220" s="202" t="s">
        <v>250</v>
      </c>
      <c r="D220" s="203" t="s">
        <v>892</v>
      </c>
      <c r="E220" s="153"/>
      <c r="F220" s="154"/>
      <c r="G220" s="153"/>
      <c r="H220" s="155"/>
      <c r="I220" s="155"/>
      <c r="J220" s="155"/>
      <c r="K220" s="155"/>
      <c r="L220" s="154"/>
      <c r="M220" s="153"/>
      <c r="N220" s="154"/>
      <c r="O220" s="153"/>
      <c r="P220" s="154"/>
      <c r="Q220" s="153"/>
      <c r="R220" s="154"/>
      <c r="S220" s="153"/>
      <c r="T220" s="154"/>
      <c r="U220" s="219">
        <f t="shared" si="6"/>
        <v>0</v>
      </c>
      <c r="V220" s="219">
        <f t="shared" si="7"/>
        <v>0</v>
      </c>
    </row>
    <row r="221" spans="1:22" s="156" customFormat="1" ht="15">
      <c r="A221" s="201" t="s">
        <v>24</v>
      </c>
      <c r="B221" s="202" t="s">
        <v>251</v>
      </c>
      <c r="C221" s="202" t="s">
        <v>252</v>
      </c>
      <c r="D221" s="203" t="s">
        <v>893</v>
      </c>
      <c r="E221" s="153"/>
      <c r="F221" s="154"/>
      <c r="G221" s="153"/>
      <c r="H221" s="155"/>
      <c r="I221" s="155"/>
      <c r="J221" s="155"/>
      <c r="K221" s="155"/>
      <c r="L221" s="154"/>
      <c r="M221" s="153"/>
      <c r="N221" s="154"/>
      <c r="O221" s="153"/>
      <c r="P221" s="154"/>
      <c r="Q221" s="153"/>
      <c r="R221" s="154"/>
      <c r="S221" s="153"/>
      <c r="T221" s="154"/>
      <c r="U221" s="219">
        <f t="shared" si="6"/>
        <v>0</v>
      </c>
      <c r="V221" s="219">
        <f t="shared" si="7"/>
        <v>0</v>
      </c>
    </row>
    <row r="222" spans="1:22" s="156" customFormat="1" ht="15">
      <c r="A222" s="201" t="s">
        <v>24</v>
      </c>
      <c r="B222" s="202" t="s">
        <v>251</v>
      </c>
      <c r="C222" s="202" t="s">
        <v>253</v>
      </c>
      <c r="D222" s="203" t="s">
        <v>894</v>
      </c>
      <c r="E222" s="153"/>
      <c r="F222" s="154"/>
      <c r="G222" s="153"/>
      <c r="H222" s="155"/>
      <c r="I222" s="155"/>
      <c r="J222" s="155"/>
      <c r="K222" s="155"/>
      <c r="L222" s="154"/>
      <c r="M222" s="153"/>
      <c r="N222" s="154"/>
      <c r="O222" s="153"/>
      <c r="P222" s="154"/>
      <c r="Q222" s="153"/>
      <c r="R222" s="154"/>
      <c r="S222" s="153"/>
      <c r="T222" s="154"/>
      <c r="U222" s="219">
        <f t="shared" si="6"/>
        <v>0</v>
      </c>
      <c r="V222" s="219">
        <f t="shared" si="7"/>
        <v>0</v>
      </c>
    </row>
    <row r="223" spans="1:22" s="156" customFormat="1" ht="15">
      <c r="A223" s="201" t="s">
        <v>24</v>
      </c>
      <c r="B223" s="202" t="s">
        <v>254</v>
      </c>
      <c r="C223" s="202" t="s">
        <v>255</v>
      </c>
      <c r="D223" s="203" t="s">
        <v>895</v>
      </c>
      <c r="E223" s="153"/>
      <c r="F223" s="154"/>
      <c r="G223" s="153"/>
      <c r="H223" s="155"/>
      <c r="I223" s="155"/>
      <c r="J223" s="155"/>
      <c r="K223" s="155"/>
      <c r="L223" s="154"/>
      <c r="M223" s="153"/>
      <c r="N223" s="154"/>
      <c r="O223" s="153"/>
      <c r="P223" s="154"/>
      <c r="Q223" s="153"/>
      <c r="R223" s="154"/>
      <c r="S223" s="153"/>
      <c r="T223" s="154"/>
      <c r="U223" s="219">
        <f t="shared" si="6"/>
        <v>0</v>
      </c>
      <c r="V223" s="219">
        <f t="shared" si="7"/>
        <v>0</v>
      </c>
    </row>
    <row r="224" spans="1:22" s="156" customFormat="1" ht="15">
      <c r="A224" s="201" t="s">
        <v>24</v>
      </c>
      <c r="B224" s="202" t="s">
        <v>254</v>
      </c>
      <c r="C224" s="202" t="s">
        <v>256</v>
      </c>
      <c r="D224" s="203" t="s">
        <v>896</v>
      </c>
      <c r="E224" s="153"/>
      <c r="F224" s="154"/>
      <c r="G224" s="153"/>
      <c r="H224" s="155"/>
      <c r="I224" s="155"/>
      <c r="J224" s="155"/>
      <c r="K224" s="155"/>
      <c r="L224" s="154"/>
      <c r="M224" s="153"/>
      <c r="N224" s="154"/>
      <c r="O224" s="153"/>
      <c r="P224" s="154"/>
      <c r="Q224" s="153"/>
      <c r="R224" s="154"/>
      <c r="S224" s="153"/>
      <c r="T224" s="154"/>
      <c r="U224" s="219">
        <f t="shared" si="6"/>
        <v>0</v>
      </c>
      <c r="V224" s="219">
        <f t="shared" si="7"/>
        <v>0</v>
      </c>
    </row>
    <row r="225" spans="1:22" s="156" customFormat="1" ht="15">
      <c r="A225" s="201" t="s">
        <v>24</v>
      </c>
      <c r="B225" s="202" t="s">
        <v>254</v>
      </c>
      <c r="C225" s="202" t="s">
        <v>257</v>
      </c>
      <c r="D225" s="203" t="s">
        <v>897</v>
      </c>
      <c r="E225" s="153"/>
      <c r="F225" s="154"/>
      <c r="G225" s="153"/>
      <c r="H225" s="155"/>
      <c r="I225" s="155"/>
      <c r="J225" s="155"/>
      <c r="K225" s="155"/>
      <c r="L225" s="154"/>
      <c r="M225" s="153"/>
      <c r="N225" s="154"/>
      <c r="O225" s="153"/>
      <c r="P225" s="154"/>
      <c r="Q225" s="153"/>
      <c r="R225" s="154"/>
      <c r="S225" s="153"/>
      <c r="T225" s="154"/>
      <c r="U225" s="219">
        <f t="shared" si="6"/>
        <v>0</v>
      </c>
      <c r="V225" s="219">
        <f t="shared" si="7"/>
        <v>0</v>
      </c>
    </row>
    <row r="226" spans="1:22" s="156" customFormat="1" ht="15">
      <c r="A226" s="201" t="s">
        <v>24</v>
      </c>
      <c r="B226" s="202" t="s">
        <v>254</v>
      </c>
      <c r="C226" s="202" t="s">
        <v>258</v>
      </c>
      <c r="D226" s="203" t="s">
        <v>898</v>
      </c>
      <c r="E226" s="153"/>
      <c r="F226" s="154"/>
      <c r="G226" s="153"/>
      <c r="H226" s="155"/>
      <c r="I226" s="155"/>
      <c r="J226" s="155"/>
      <c r="K226" s="155"/>
      <c r="L226" s="154"/>
      <c r="M226" s="153"/>
      <c r="N226" s="154"/>
      <c r="O226" s="153"/>
      <c r="P226" s="154"/>
      <c r="Q226" s="153"/>
      <c r="R226" s="154"/>
      <c r="S226" s="153"/>
      <c r="T226" s="154"/>
      <c r="U226" s="219">
        <f t="shared" si="6"/>
        <v>0</v>
      </c>
      <c r="V226" s="219">
        <f t="shared" si="7"/>
        <v>0</v>
      </c>
    </row>
    <row r="227" spans="1:22" s="156" customFormat="1" ht="15">
      <c r="A227" s="201" t="s">
        <v>24</v>
      </c>
      <c r="B227" s="202" t="s">
        <v>254</v>
      </c>
      <c r="C227" s="202" t="s">
        <v>259</v>
      </c>
      <c r="D227" s="203" t="s">
        <v>899</v>
      </c>
      <c r="E227" s="153"/>
      <c r="F227" s="154"/>
      <c r="G227" s="153"/>
      <c r="H227" s="155"/>
      <c r="I227" s="155"/>
      <c r="J227" s="155"/>
      <c r="K227" s="155"/>
      <c r="L227" s="154"/>
      <c r="M227" s="153"/>
      <c r="N227" s="154"/>
      <c r="O227" s="153"/>
      <c r="P227" s="154"/>
      <c r="Q227" s="153"/>
      <c r="R227" s="154"/>
      <c r="S227" s="153"/>
      <c r="T227" s="154"/>
      <c r="U227" s="219">
        <f t="shared" si="6"/>
        <v>0</v>
      </c>
      <c r="V227" s="219">
        <f t="shared" si="7"/>
        <v>0</v>
      </c>
    </row>
    <row r="228" spans="1:22" s="156" customFormat="1" ht="15">
      <c r="A228" s="201" t="s">
        <v>24</v>
      </c>
      <c r="B228" s="202" t="s">
        <v>254</v>
      </c>
      <c r="C228" s="202" t="s">
        <v>260</v>
      </c>
      <c r="D228" s="203" t="s">
        <v>900</v>
      </c>
      <c r="E228" s="153"/>
      <c r="F228" s="154"/>
      <c r="G228" s="153"/>
      <c r="H228" s="155"/>
      <c r="I228" s="155"/>
      <c r="J228" s="155"/>
      <c r="K228" s="155"/>
      <c r="L228" s="154"/>
      <c r="M228" s="153"/>
      <c r="N228" s="154"/>
      <c r="O228" s="153"/>
      <c r="P228" s="154"/>
      <c r="Q228" s="153"/>
      <c r="R228" s="154"/>
      <c r="S228" s="153"/>
      <c r="T228" s="154"/>
      <c r="U228" s="219">
        <f t="shared" si="6"/>
        <v>0</v>
      </c>
      <c r="V228" s="219">
        <f t="shared" si="7"/>
        <v>0</v>
      </c>
    </row>
    <row r="229" spans="1:22" s="156" customFormat="1" ht="15">
      <c r="A229" s="201" t="s">
        <v>24</v>
      </c>
      <c r="B229" s="202" t="s">
        <v>254</v>
      </c>
      <c r="C229" s="202" t="s">
        <v>261</v>
      </c>
      <c r="D229" s="203" t="s">
        <v>901</v>
      </c>
      <c r="E229" s="153"/>
      <c r="F229" s="154"/>
      <c r="G229" s="153"/>
      <c r="H229" s="155"/>
      <c r="I229" s="155"/>
      <c r="J229" s="155"/>
      <c r="K229" s="155"/>
      <c r="L229" s="154"/>
      <c r="M229" s="153"/>
      <c r="N229" s="154"/>
      <c r="O229" s="153"/>
      <c r="P229" s="154"/>
      <c r="Q229" s="153"/>
      <c r="R229" s="154"/>
      <c r="S229" s="153"/>
      <c r="T229" s="154"/>
      <c r="U229" s="219">
        <f t="shared" si="6"/>
        <v>0</v>
      </c>
      <c r="V229" s="219">
        <f t="shared" si="7"/>
        <v>0</v>
      </c>
    </row>
    <row r="230" spans="1:22" s="156" customFormat="1" ht="15">
      <c r="A230" s="201" t="s">
        <v>26</v>
      </c>
      <c r="B230" s="202" t="s">
        <v>262</v>
      </c>
      <c r="C230" s="202" t="s">
        <v>263</v>
      </c>
      <c r="D230" s="203" t="s">
        <v>902</v>
      </c>
      <c r="E230" s="153"/>
      <c r="F230" s="154"/>
      <c r="G230" s="153"/>
      <c r="H230" s="155"/>
      <c r="I230" s="155"/>
      <c r="J230" s="155"/>
      <c r="K230" s="155"/>
      <c r="L230" s="154"/>
      <c r="M230" s="153"/>
      <c r="N230" s="154"/>
      <c r="O230" s="153"/>
      <c r="P230" s="154"/>
      <c r="Q230" s="153"/>
      <c r="R230" s="154"/>
      <c r="S230" s="153"/>
      <c r="T230" s="154"/>
      <c r="U230" s="219">
        <f t="shared" si="6"/>
        <v>0</v>
      </c>
      <c r="V230" s="219">
        <f t="shared" si="7"/>
        <v>0</v>
      </c>
    </row>
    <row r="231" spans="1:22" s="156" customFormat="1" ht="15">
      <c r="A231" s="201" t="s">
        <v>26</v>
      </c>
      <c r="B231" s="202" t="s">
        <v>1281</v>
      </c>
      <c r="C231" s="202" t="s">
        <v>264</v>
      </c>
      <c r="D231" s="203" t="s">
        <v>903</v>
      </c>
      <c r="E231" s="153"/>
      <c r="F231" s="154"/>
      <c r="G231" s="153"/>
      <c r="H231" s="155"/>
      <c r="I231" s="155"/>
      <c r="J231" s="155"/>
      <c r="K231" s="155"/>
      <c r="L231" s="154"/>
      <c r="M231" s="153"/>
      <c r="N231" s="154"/>
      <c r="O231" s="153"/>
      <c r="P231" s="154"/>
      <c r="Q231" s="153"/>
      <c r="R231" s="154"/>
      <c r="S231" s="153"/>
      <c r="T231" s="154"/>
      <c r="U231" s="219">
        <f t="shared" si="6"/>
        <v>0</v>
      </c>
      <c r="V231" s="219">
        <f t="shared" si="7"/>
        <v>0</v>
      </c>
    </row>
    <row r="232" spans="1:22" s="156" customFormat="1" ht="15">
      <c r="A232" s="201" t="s">
        <v>26</v>
      </c>
      <c r="B232" s="202" t="s">
        <v>1281</v>
      </c>
      <c r="C232" s="202" t="s">
        <v>265</v>
      </c>
      <c r="D232" s="203" t="s">
        <v>904</v>
      </c>
      <c r="E232" s="153"/>
      <c r="F232" s="154"/>
      <c r="G232" s="153"/>
      <c r="H232" s="155"/>
      <c r="I232" s="155"/>
      <c r="J232" s="155"/>
      <c r="K232" s="155"/>
      <c r="L232" s="154"/>
      <c r="M232" s="153"/>
      <c r="N232" s="154"/>
      <c r="O232" s="153"/>
      <c r="P232" s="154"/>
      <c r="Q232" s="153"/>
      <c r="R232" s="154"/>
      <c r="S232" s="153"/>
      <c r="T232" s="154"/>
      <c r="U232" s="219">
        <f t="shared" si="6"/>
        <v>0</v>
      </c>
      <c r="V232" s="219">
        <f t="shared" si="7"/>
        <v>0</v>
      </c>
    </row>
    <row r="233" spans="1:22" s="156" customFormat="1" ht="15">
      <c r="A233" s="201" t="s">
        <v>26</v>
      </c>
      <c r="B233" s="202" t="s">
        <v>1281</v>
      </c>
      <c r="C233" s="202" t="s">
        <v>266</v>
      </c>
      <c r="D233" s="203" t="s">
        <v>905</v>
      </c>
      <c r="E233" s="153">
        <v>0</v>
      </c>
      <c r="F233" s="154"/>
      <c r="G233" s="153">
        <v>8800</v>
      </c>
      <c r="H233" s="155"/>
      <c r="I233" s="155">
        <v>0</v>
      </c>
      <c r="J233" s="155"/>
      <c r="K233" s="155">
        <v>9000</v>
      </c>
      <c r="L233" s="154"/>
      <c r="M233" s="153">
        <f>1000*0.8</f>
        <v>800</v>
      </c>
      <c r="N233" s="154"/>
      <c r="O233" s="153">
        <f>1000*0.1</f>
        <v>100</v>
      </c>
      <c r="P233" s="154"/>
      <c r="Q233" s="153">
        <f>1000*0.05</f>
        <v>50</v>
      </c>
      <c r="R233" s="154"/>
      <c r="S233" s="153">
        <f>1000*0.05</f>
        <v>50</v>
      </c>
      <c r="T233" s="154"/>
      <c r="U233" s="152">
        <f t="shared" si="6"/>
        <v>1000</v>
      </c>
      <c r="V233" s="219">
        <f t="shared" si="7"/>
        <v>0</v>
      </c>
    </row>
    <row r="234" spans="1:22" s="156" customFormat="1" ht="15">
      <c r="A234" s="201" t="s">
        <v>26</v>
      </c>
      <c r="B234" s="202" t="s">
        <v>1281</v>
      </c>
      <c r="C234" s="202" t="s">
        <v>267</v>
      </c>
      <c r="D234" s="203" t="s">
        <v>906</v>
      </c>
      <c r="E234" s="153">
        <v>0</v>
      </c>
      <c r="F234" s="154"/>
      <c r="G234" s="153">
        <v>0</v>
      </c>
      <c r="H234" s="155"/>
      <c r="I234" s="155">
        <v>0</v>
      </c>
      <c r="J234" s="155"/>
      <c r="K234" s="155">
        <v>2000</v>
      </c>
      <c r="L234" s="154"/>
      <c r="M234" s="153">
        <f>2500*0.8</f>
        <v>2000</v>
      </c>
      <c r="N234" s="154"/>
      <c r="O234" s="153">
        <f>2500*0.1</f>
        <v>250</v>
      </c>
      <c r="P234" s="154"/>
      <c r="Q234" s="153">
        <f>2500*0.05</f>
        <v>125</v>
      </c>
      <c r="R234" s="154"/>
      <c r="S234" s="153">
        <f>2500*0.05</f>
        <v>125</v>
      </c>
      <c r="T234" s="154"/>
      <c r="U234" s="152">
        <f t="shared" si="6"/>
        <v>2500</v>
      </c>
      <c r="V234" s="219">
        <f t="shared" si="7"/>
        <v>0</v>
      </c>
    </row>
    <row r="235" spans="1:22" s="156" customFormat="1" ht="15">
      <c r="A235" s="201" t="s">
        <v>26</v>
      </c>
      <c r="B235" s="202" t="s">
        <v>1281</v>
      </c>
      <c r="C235" s="202" t="s">
        <v>268</v>
      </c>
      <c r="D235" s="203" t="s">
        <v>907</v>
      </c>
      <c r="E235" s="153"/>
      <c r="F235" s="154"/>
      <c r="G235" s="153"/>
      <c r="H235" s="155"/>
      <c r="I235" s="155"/>
      <c r="J235" s="155"/>
      <c r="K235" s="155"/>
      <c r="L235" s="154"/>
      <c r="M235" s="153"/>
      <c r="N235" s="154"/>
      <c r="O235" s="153"/>
      <c r="P235" s="154"/>
      <c r="Q235" s="153"/>
      <c r="R235" s="154"/>
      <c r="S235" s="153"/>
      <c r="T235" s="154"/>
      <c r="U235" s="219">
        <f t="shared" si="6"/>
        <v>0</v>
      </c>
      <c r="V235" s="219">
        <f t="shared" si="7"/>
        <v>0</v>
      </c>
    </row>
    <row r="236" spans="1:22" s="156" customFormat="1" ht="15">
      <c r="A236" s="201" t="s">
        <v>26</v>
      </c>
      <c r="B236" s="202" t="s">
        <v>1281</v>
      </c>
      <c r="C236" s="202" t="s">
        <v>269</v>
      </c>
      <c r="D236" s="203" t="s">
        <v>908</v>
      </c>
      <c r="E236" s="153"/>
      <c r="F236" s="154"/>
      <c r="G236" s="153"/>
      <c r="H236" s="155"/>
      <c r="I236" s="155"/>
      <c r="J236" s="155"/>
      <c r="K236" s="155"/>
      <c r="L236" s="154"/>
      <c r="M236" s="153"/>
      <c r="N236" s="154"/>
      <c r="O236" s="153"/>
      <c r="P236" s="154"/>
      <c r="Q236" s="153"/>
      <c r="R236" s="154"/>
      <c r="S236" s="153"/>
      <c r="T236" s="154"/>
      <c r="U236" s="219">
        <f t="shared" si="6"/>
        <v>0</v>
      </c>
      <c r="V236" s="219">
        <f t="shared" si="7"/>
        <v>0</v>
      </c>
    </row>
    <row r="237" spans="1:22" s="156" customFormat="1" ht="15">
      <c r="A237" s="201" t="s">
        <v>26</v>
      </c>
      <c r="B237" s="202" t="s">
        <v>1281</v>
      </c>
      <c r="C237" s="202" t="s">
        <v>1282</v>
      </c>
      <c r="D237" s="203">
        <v>1080207</v>
      </c>
      <c r="E237" s="153"/>
      <c r="F237" s="154"/>
      <c r="G237" s="153"/>
      <c r="H237" s="155"/>
      <c r="I237" s="155"/>
      <c r="J237" s="155"/>
      <c r="K237" s="155"/>
      <c r="L237" s="154"/>
      <c r="M237" s="153"/>
      <c r="N237" s="154"/>
      <c r="O237" s="153"/>
      <c r="P237" s="154"/>
      <c r="Q237" s="153"/>
      <c r="R237" s="154"/>
      <c r="S237" s="153"/>
      <c r="T237" s="154"/>
      <c r="U237" s="219">
        <f t="shared" si="6"/>
        <v>0</v>
      </c>
      <c r="V237" s="219">
        <f t="shared" si="7"/>
        <v>0</v>
      </c>
    </row>
    <row r="238" spans="1:22" s="156" customFormat="1" ht="15">
      <c r="A238" s="201" t="s">
        <v>26</v>
      </c>
      <c r="B238" s="202" t="s">
        <v>1281</v>
      </c>
      <c r="C238" s="202" t="s">
        <v>270</v>
      </c>
      <c r="D238" s="203" t="s">
        <v>909</v>
      </c>
      <c r="E238" s="153"/>
      <c r="F238" s="154"/>
      <c r="G238" s="153"/>
      <c r="H238" s="155"/>
      <c r="I238" s="155"/>
      <c r="J238" s="155"/>
      <c r="K238" s="155"/>
      <c r="L238" s="154"/>
      <c r="M238" s="153"/>
      <c r="N238" s="154"/>
      <c r="O238" s="153"/>
      <c r="P238" s="154"/>
      <c r="Q238" s="153"/>
      <c r="R238" s="154"/>
      <c r="S238" s="153"/>
      <c r="T238" s="154"/>
      <c r="U238" s="219">
        <f t="shared" si="6"/>
        <v>0</v>
      </c>
      <c r="V238" s="219">
        <f t="shared" si="7"/>
        <v>0</v>
      </c>
    </row>
    <row r="239" spans="1:22" s="156" customFormat="1" ht="15">
      <c r="A239" s="201" t="s">
        <v>26</v>
      </c>
      <c r="B239" s="202" t="s">
        <v>271</v>
      </c>
      <c r="C239" s="202" t="s">
        <v>272</v>
      </c>
      <c r="D239" s="203" t="s">
        <v>910</v>
      </c>
      <c r="E239" s="153"/>
      <c r="F239" s="154"/>
      <c r="G239" s="153"/>
      <c r="H239" s="155"/>
      <c r="I239" s="155"/>
      <c r="J239" s="155"/>
      <c r="K239" s="155"/>
      <c r="L239" s="154"/>
      <c r="M239" s="153"/>
      <c r="N239" s="154"/>
      <c r="O239" s="153"/>
      <c r="P239" s="154"/>
      <c r="Q239" s="153"/>
      <c r="R239" s="154"/>
      <c r="S239" s="153"/>
      <c r="T239" s="154"/>
      <c r="U239" s="219">
        <f t="shared" si="6"/>
        <v>0</v>
      </c>
      <c r="V239" s="219">
        <f t="shared" si="7"/>
        <v>0</v>
      </c>
    </row>
    <row r="240" spans="1:22" s="156" customFormat="1" ht="15">
      <c r="A240" s="201" t="s">
        <v>26</v>
      </c>
      <c r="B240" s="202" t="s">
        <v>271</v>
      </c>
      <c r="C240" s="202" t="s">
        <v>273</v>
      </c>
      <c r="D240" s="203" t="s">
        <v>911</v>
      </c>
      <c r="E240" s="153"/>
      <c r="F240" s="154"/>
      <c r="G240" s="153"/>
      <c r="H240" s="155"/>
      <c r="I240" s="155"/>
      <c r="J240" s="155"/>
      <c r="K240" s="155"/>
      <c r="L240" s="154"/>
      <c r="M240" s="153"/>
      <c r="N240" s="154"/>
      <c r="O240" s="153"/>
      <c r="P240" s="154"/>
      <c r="Q240" s="153"/>
      <c r="R240" s="154"/>
      <c r="S240" s="153"/>
      <c r="T240" s="154"/>
      <c r="U240" s="219">
        <f t="shared" si="6"/>
        <v>0</v>
      </c>
      <c r="V240" s="219">
        <f t="shared" si="7"/>
        <v>0</v>
      </c>
    </row>
    <row r="241" spans="1:23" s="156" customFormat="1" ht="15">
      <c r="A241" s="201" t="s">
        <v>26</v>
      </c>
      <c r="B241" s="202" t="s">
        <v>271</v>
      </c>
      <c r="C241" s="202" t="s">
        <v>274</v>
      </c>
      <c r="D241" s="203" t="s">
        <v>912</v>
      </c>
      <c r="E241" s="153"/>
      <c r="F241" s="154"/>
      <c r="G241" s="153"/>
      <c r="H241" s="155"/>
      <c r="I241" s="155"/>
      <c r="J241" s="155"/>
      <c r="K241" s="155"/>
      <c r="L241" s="154"/>
      <c r="M241" s="153"/>
      <c r="N241" s="154"/>
      <c r="O241" s="153"/>
      <c r="P241" s="154"/>
      <c r="Q241" s="153"/>
      <c r="R241" s="154"/>
      <c r="S241" s="153"/>
      <c r="T241" s="154"/>
      <c r="U241" s="219">
        <f t="shared" si="6"/>
        <v>0</v>
      </c>
      <c r="V241" s="219">
        <f t="shared" si="7"/>
        <v>0</v>
      </c>
    </row>
    <row r="242" spans="1:23" s="156" customFormat="1" ht="15">
      <c r="A242" s="201" t="s">
        <v>26</v>
      </c>
      <c r="B242" s="202" t="s">
        <v>271</v>
      </c>
      <c r="C242" s="202" t="s">
        <v>275</v>
      </c>
      <c r="D242" s="203" t="s">
        <v>913</v>
      </c>
      <c r="E242" s="153"/>
      <c r="F242" s="154"/>
      <c r="G242" s="153"/>
      <c r="H242" s="155"/>
      <c r="I242" s="155"/>
      <c r="J242" s="155"/>
      <c r="K242" s="155"/>
      <c r="L242" s="154"/>
      <c r="M242" s="153"/>
      <c r="N242" s="154"/>
      <c r="O242" s="153"/>
      <c r="P242" s="154"/>
      <c r="Q242" s="153"/>
      <c r="R242" s="154"/>
      <c r="S242" s="153"/>
      <c r="T242" s="154"/>
      <c r="U242" s="219">
        <f t="shared" si="6"/>
        <v>0</v>
      </c>
      <c r="V242" s="219">
        <f t="shared" si="7"/>
        <v>0</v>
      </c>
    </row>
    <row r="243" spans="1:23" s="156" customFormat="1" ht="15">
      <c r="A243" s="201" t="s">
        <v>26</v>
      </c>
      <c r="B243" s="202" t="s">
        <v>271</v>
      </c>
      <c r="C243" s="202" t="s">
        <v>276</v>
      </c>
      <c r="D243" s="203" t="s">
        <v>914</v>
      </c>
      <c r="E243" s="153"/>
      <c r="F243" s="154"/>
      <c r="G243" s="153"/>
      <c r="H243" s="155"/>
      <c r="I243" s="155"/>
      <c r="J243" s="155"/>
      <c r="K243" s="155"/>
      <c r="L243" s="154"/>
      <c r="M243" s="153"/>
      <c r="N243" s="154"/>
      <c r="O243" s="153"/>
      <c r="P243" s="154"/>
      <c r="Q243" s="153"/>
      <c r="R243" s="154"/>
      <c r="S243" s="153"/>
      <c r="T243" s="154"/>
      <c r="U243" s="219">
        <f t="shared" si="6"/>
        <v>0</v>
      </c>
      <c r="V243" s="219">
        <f t="shared" si="7"/>
        <v>0</v>
      </c>
    </row>
    <row r="244" spans="1:23" s="156" customFormat="1" ht="15">
      <c r="A244" s="201" t="s">
        <v>26</v>
      </c>
      <c r="B244" s="202" t="s">
        <v>271</v>
      </c>
      <c r="C244" s="202" t="s">
        <v>277</v>
      </c>
      <c r="D244" s="203" t="s">
        <v>915</v>
      </c>
      <c r="E244" s="153"/>
      <c r="F244" s="154"/>
      <c r="G244" s="153"/>
      <c r="H244" s="155"/>
      <c r="I244" s="155"/>
      <c r="J244" s="155"/>
      <c r="K244" s="155"/>
      <c r="L244" s="154"/>
      <c r="M244" s="153"/>
      <c r="N244" s="154"/>
      <c r="O244" s="153"/>
      <c r="P244" s="154"/>
      <c r="Q244" s="153"/>
      <c r="R244" s="154"/>
      <c r="S244" s="153"/>
      <c r="T244" s="154"/>
      <c r="U244" s="219">
        <f t="shared" si="6"/>
        <v>0</v>
      </c>
      <c r="V244" s="219">
        <f t="shared" si="7"/>
        <v>0</v>
      </c>
    </row>
    <row r="245" spans="1:23" s="156" customFormat="1" ht="15">
      <c r="A245" s="201" t="s">
        <v>26</v>
      </c>
      <c r="B245" s="202" t="s">
        <v>278</v>
      </c>
      <c r="C245" s="202" t="s">
        <v>279</v>
      </c>
      <c r="D245" s="203" t="s">
        <v>916</v>
      </c>
      <c r="E245" s="153"/>
      <c r="F245" s="154"/>
      <c r="G245" s="153"/>
      <c r="H245" s="155"/>
      <c r="I245" s="155"/>
      <c r="J245" s="155"/>
      <c r="K245" s="155"/>
      <c r="L245" s="154"/>
      <c r="M245" s="153"/>
      <c r="N245" s="154"/>
      <c r="O245" s="153"/>
      <c r="P245" s="154"/>
      <c r="Q245" s="153"/>
      <c r="R245" s="154"/>
      <c r="S245" s="153"/>
      <c r="T245" s="154"/>
      <c r="U245" s="219">
        <f t="shared" si="6"/>
        <v>0</v>
      </c>
      <c r="V245" s="219">
        <f t="shared" si="7"/>
        <v>0</v>
      </c>
    </row>
    <row r="246" spans="1:23" s="156" customFormat="1" ht="15">
      <c r="A246" s="201" t="s">
        <v>26</v>
      </c>
      <c r="B246" s="202" t="s">
        <v>278</v>
      </c>
      <c r="C246" s="202" t="s">
        <v>280</v>
      </c>
      <c r="D246" s="203" t="s">
        <v>917</v>
      </c>
      <c r="E246" s="153"/>
      <c r="F246" s="154"/>
      <c r="G246" s="153"/>
      <c r="H246" s="155"/>
      <c r="I246" s="155"/>
      <c r="J246" s="155"/>
      <c r="K246" s="155"/>
      <c r="L246" s="154"/>
      <c r="M246" s="153"/>
      <c r="N246" s="154"/>
      <c r="O246" s="153"/>
      <c r="P246" s="154"/>
      <c r="Q246" s="153"/>
      <c r="R246" s="154"/>
      <c r="S246" s="153"/>
      <c r="T246" s="154"/>
      <c r="U246" s="219">
        <f t="shared" si="6"/>
        <v>0</v>
      </c>
      <c r="V246" s="219">
        <f t="shared" si="7"/>
        <v>0</v>
      </c>
    </row>
    <row r="247" spans="1:23" s="156" customFormat="1" ht="15">
      <c r="A247" s="201" t="s">
        <v>26</v>
      </c>
      <c r="B247" s="202" t="s">
        <v>278</v>
      </c>
      <c r="C247" s="202" t="s">
        <v>281</v>
      </c>
      <c r="D247" s="203" t="s">
        <v>918</v>
      </c>
      <c r="E247" s="153"/>
      <c r="F247" s="154"/>
      <c r="G247" s="153"/>
      <c r="H247" s="155"/>
      <c r="I247" s="155"/>
      <c r="J247" s="155"/>
      <c r="K247" s="155"/>
      <c r="L247" s="154"/>
      <c r="M247" s="153"/>
      <c r="N247" s="154"/>
      <c r="O247" s="153"/>
      <c r="P247" s="154"/>
      <c r="Q247" s="153"/>
      <c r="R247" s="154"/>
      <c r="S247" s="153"/>
      <c r="T247" s="154"/>
      <c r="U247" s="219">
        <f t="shared" si="6"/>
        <v>0</v>
      </c>
      <c r="V247" s="219">
        <f t="shared" si="7"/>
        <v>0</v>
      </c>
    </row>
    <row r="248" spans="1:23" s="156" customFormat="1" ht="15">
      <c r="A248" s="201" t="s">
        <v>26</v>
      </c>
      <c r="B248" s="202" t="s">
        <v>278</v>
      </c>
      <c r="C248" s="202" t="s">
        <v>282</v>
      </c>
      <c r="D248" s="203" t="s">
        <v>919</v>
      </c>
      <c r="E248" s="153"/>
      <c r="F248" s="154"/>
      <c r="G248" s="153"/>
      <c r="H248" s="155"/>
      <c r="I248" s="155"/>
      <c r="J248" s="155"/>
      <c r="K248" s="155"/>
      <c r="L248" s="154"/>
      <c r="M248" s="153"/>
      <c r="N248" s="154"/>
      <c r="O248" s="153"/>
      <c r="P248" s="154"/>
      <c r="Q248" s="153"/>
      <c r="R248" s="154"/>
      <c r="S248" s="153"/>
      <c r="T248" s="154"/>
      <c r="U248" s="219">
        <f t="shared" si="6"/>
        <v>0</v>
      </c>
      <c r="V248" s="219">
        <f t="shared" si="7"/>
        <v>0</v>
      </c>
    </row>
    <row r="249" spans="1:23" s="156" customFormat="1" ht="15">
      <c r="A249" s="201" t="s">
        <v>26</v>
      </c>
      <c r="B249" s="202" t="s">
        <v>278</v>
      </c>
      <c r="C249" s="202" t="s">
        <v>283</v>
      </c>
      <c r="D249" s="203" t="s">
        <v>920</v>
      </c>
      <c r="E249" s="153"/>
      <c r="F249" s="154"/>
      <c r="G249" s="153"/>
      <c r="H249" s="155"/>
      <c r="I249" s="155"/>
      <c r="J249" s="155"/>
      <c r="K249" s="155"/>
      <c r="L249" s="154"/>
      <c r="M249" s="153"/>
      <c r="N249" s="154"/>
      <c r="O249" s="153"/>
      <c r="P249" s="154"/>
      <c r="Q249" s="153"/>
      <c r="R249" s="154"/>
      <c r="S249" s="153"/>
      <c r="T249" s="154"/>
      <c r="U249" s="219">
        <f t="shared" si="6"/>
        <v>0</v>
      </c>
      <c r="V249" s="219">
        <f t="shared" si="7"/>
        <v>0</v>
      </c>
    </row>
    <row r="250" spans="1:23" s="156" customFormat="1" ht="15">
      <c r="A250" s="201" t="s">
        <v>26</v>
      </c>
      <c r="B250" s="202" t="s">
        <v>278</v>
      </c>
      <c r="C250" s="202" t="s">
        <v>284</v>
      </c>
      <c r="D250" s="203" t="s">
        <v>921</v>
      </c>
      <c r="E250" s="153"/>
      <c r="F250" s="154"/>
      <c r="G250" s="153"/>
      <c r="H250" s="155"/>
      <c r="I250" s="155"/>
      <c r="J250" s="155"/>
      <c r="K250" s="155"/>
      <c r="L250" s="154"/>
      <c r="M250" s="153"/>
      <c r="N250" s="154"/>
      <c r="O250" s="153"/>
      <c r="P250" s="154"/>
      <c r="Q250" s="153"/>
      <c r="R250" s="154"/>
      <c r="S250" s="153"/>
      <c r="T250" s="154"/>
      <c r="U250" s="219">
        <f t="shared" si="6"/>
        <v>0</v>
      </c>
      <c r="V250" s="219">
        <f t="shared" si="7"/>
        <v>0</v>
      </c>
    </row>
    <row r="251" spans="1:23" s="156" customFormat="1" ht="15">
      <c r="A251" s="201" t="s">
        <v>26</v>
      </c>
      <c r="B251" s="202" t="s">
        <v>278</v>
      </c>
      <c r="C251" s="202" t="s">
        <v>285</v>
      </c>
      <c r="D251" s="203" t="s">
        <v>922</v>
      </c>
      <c r="E251" s="153"/>
      <c r="F251" s="154"/>
      <c r="G251" s="153"/>
      <c r="H251" s="155"/>
      <c r="I251" s="155"/>
      <c r="J251" s="155"/>
      <c r="K251" s="155"/>
      <c r="L251" s="154"/>
      <c r="M251" s="153"/>
      <c r="N251" s="154"/>
      <c r="O251" s="153"/>
      <c r="P251" s="154"/>
      <c r="Q251" s="153"/>
      <c r="R251" s="154"/>
      <c r="S251" s="153"/>
      <c r="T251" s="154"/>
      <c r="U251" s="219">
        <f t="shared" si="6"/>
        <v>0</v>
      </c>
      <c r="V251" s="219">
        <f t="shared" si="7"/>
        <v>0</v>
      </c>
    </row>
    <row r="252" spans="1:23" s="156" customFormat="1" ht="15">
      <c r="A252" s="201" t="s">
        <v>26</v>
      </c>
      <c r="B252" s="202" t="s">
        <v>278</v>
      </c>
      <c r="C252" s="202" t="s">
        <v>286</v>
      </c>
      <c r="D252" s="203" t="s">
        <v>923</v>
      </c>
      <c r="E252" s="153"/>
      <c r="F252" s="154"/>
      <c r="G252" s="153">
        <v>0</v>
      </c>
      <c r="H252" s="155"/>
      <c r="I252" s="155">
        <v>0</v>
      </c>
      <c r="J252" s="155"/>
      <c r="K252" s="155">
        <v>0</v>
      </c>
      <c r="L252" s="154"/>
      <c r="M252" s="153"/>
      <c r="N252" s="154"/>
      <c r="O252" s="153"/>
      <c r="P252" s="154"/>
      <c r="Q252" s="153"/>
      <c r="R252" s="154"/>
      <c r="S252" s="153">
        <f>10000</f>
        <v>10000</v>
      </c>
      <c r="T252" s="154"/>
      <c r="U252" s="152">
        <f t="shared" si="6"/>
        <v>10000</v>
      </c>
      <c r="V252" s="219">
        <f t="shared" si="7"/>
        <v>0</v>
      </c>
      <c r="W252" s="223">
        <f>SUM(U233:U252)</f>
        <v>13500</v>
      </c>
    </row>
    <row r="253" spans="1:23" s="156" customFormat="1" ht="15">
      <c r="A253" s="201" t="s">
        <v>26</v>
      </c>
      <c r="B253" s="202" t="s">
        <v>278</v>
      </c>
      <c r="C253" s="202" t="s">
        <v>287</v>
      </c>
      <c r="D253" s="203" t="s">
        <v>924</v>
      </c>
      <c r="E253" s="153"/>
      <c r="F253" s="154"/>
      <c r="G253" s="153"/>
      <c r="H253" s="155"/>
      <c r="I253" s="155"/>
      <c r="J253" s="155"/>
      <c r="K253" s="155"/>
      <c r="L253" s="154"/>
      <c r="M253" s="153"/>
      <c r="N253" s="154"/>
      <c r="O253" s="153"/>
      <c r="P253" s="154"/>
      <c r="Q253" s="153"/>
      <c r="R253" s="154"/>
      <c r="S253" s="153"/>
      <c r="T253" s="154"/>
      <c r="U253" s="219">
        <f t="shared" si="6"/>
        <v>0</v>
      </c>
      <c r="V253" s="219">
        <f t="shared" si="7"/>
        <v>0</v>
      </c>
    </row>
    <row r="254" spans="1:23" s="156" customFormat="1" ht="15">
      <c r="A254" s="201" t="s">
        <v>26</v>
      </c>
      <c r="B254" s="202" t="s">
        <v>278</v>
      </c>
      <c r="C254" s="202" t="s">
        <v>288</v>
      </c>
      <c r="D254" s="203" t="s">
        <v>925</v>
      </c>
      <c r="E254" s="153"/>
      <c r="F254" s="154"/>
      <c r="G254" s="153"/>
      <c r="H254" s="155"/>
      <c r="I254" s="155"/>
      <c r="J254" s="155"/>
      <c r="K254" s="155"/>
      <c r="L254" s="154"/>
      <c r="M254" s="153"/>
      <c r="N254" s="154"/>
      <c r="O254" s="153"/>
      <c r="P254" s="154"/>
      <c r="Q254" s="153"/>
      <c r="R254" s="154"/>
      <c r="S254" s="153"/>
      <c r="T254" s="154"/>
      <c r="U254" s="219">
        <f t="shared" si="6"/>
        <v>0</v>
      </c>
      <c r="V254" s="219">
        <f t="shared" si="7"/>
        <v>0</v>
      </c>
    </row>
    <row r="255" spans="1:23" s="156" customFormat="1" ht="15">
      <c r="A255" s="201" t="s">
        <v>26</v>
      </c>
      <c r="B255" s="202" t="s">
        <v>278</v>
      </c>
      <c r="C255" s="202" t="s">
        <v>289</v>
      </c>
      <c r="D255" s="203" t="s">
        <v>926</v>
      </c>
      <c r="E255" s="153"/>
      <c r="F255" s="154"/>
      <c r="G255" s="153"/>
      <c r="H255" s="155"/>
      <c r="I255" s="155"/>
      <c r="J255" s="155"/>
      <c r="K255" s="155"/>
      <c r="L255" s="154"/>
      <c r="M255" s="153"/>
      <c r="N255" s="154"/>
      <c r="O255" s="153"/>
      <c r="P255" s="154"/>
      <c r="Q255" s="153"/>
      <c r="R255" s="154"/>
      <c r="S255" s="153"/>
      <c r="T255" s="154"/>
      <c r="U255" s="219">
        <f t="shared" si="6"/>
        <v>0</v>
      </c>
      <c r="V255" s="219">
        <f t="shared" si="7"/>
        <v>0</v>
      </c>
    </row>
    <row r="256" spans="1:23" s="156" customFormat="1" ht="15">
      <c r="A256" s="201" t="s">
        <v>26</v>
      </c>
      <c r="B256" s="202" t="s">
        <v>278</v>
      </c>
      <c r="C256" s="202" t="s">
        <v>290</v>
      </c>
      <c r="D256" s="203" t="s">
        <v>927</v>
      </c>
      <c r="E256" s="153"/>
      <c r="F256" s="154"/>
      <c r="G256" s="153"/>
      <c r="H256" s="155"/>
      <c r="I256" s="155"/>
      <c r="J256" s="155"/>
      <c r="K256" s="155"/>
      <c r="L256" s="154"/>
      <c r="M256" s="153"/>
      <c r="N256" s="154"/>
      <c r="O256" s="153"/>
      <c r="P256" s="154"/>
      <c r="Q256" s="153"/>
      <c r="R256" s="154"/>
      <c r="S256" s="153"/>
      <c r="T256" s="154"/>
      <c r="U256" s="219">
        <f t="shared" si="6"/>
        <v>0</v>
      </c>
      <c r="V256" s="219">
        <f t="shared" si="7"/>
        <v>0</v>
      </c>
    </row>
    <row r="257" spans="1:22" s="156" customFormat="1" ht="15">
      <c r="A257" s="201" t="s">
        <v>26</v>
      </c>
      <c r="B257" s="202" t="s">
        <v>278</v>
      </c>
      <c r="C257" s="202" t="s">
        <v>291</v>
      </c>
      <c r="D257" s="203" t="s">
        <v>928</v>
      </c>
      <c r="E257" s="153"/>
      <c r="F257" s="154"/>
      <c r="G257" s="153"/>
      <c r="H257" s="155"/>
      <c r="I257" s="155"/>
      <c r="J257" s="155"/>
      <c r="K257" s="155"/>
      <c r="L257" s="154"/>
      <c r="M257" s="153"/>
      <c r="N257" s="154"/>
      <c r="O257" s="153"/>
      <c r="P257" s="154"/>
      <c r="Q257" s="153"/>
      <c r="R257" s="154"/>
      <c r="S257" s="153"/>
      <c r="T257" s="154"/>
      <c r="U257" s="219">
        <f t="shared" si="6"/>
        <v>0</v>
      </c>
      <c r="V257" s="219">
        <f t="shared" si="7"/>
        <v>0</v>
      </c>
    </row>
    <row r="258" spans="1:22" s="156" customFormat="1" ht="15">
      <c r="A258" s="201" t="s">
        <v>27</v>
      </c>
      <c r="B258" s="202" t="s">
        <v>292</v>
      </c>
      <c r="C258" s="202" t="s">
        <v>293</v>
      </c>
      <c r="D258" s="203" t="s">
        <v>929</v>
      </c>
      <c r="E258" s="153">
        <v>10429</v>
      </c>
      <c r="F258" s="154"/>
      <c r="G258" s="153"/>
      <c r="H258" s="155"/>
      <c r="I258" s="155"/>
      <c r="J258" s="155"/>
      <c r="K258" s="155"/>
      <c r="L258" s="154"/>
      <c r="M258" s="153"/>
      <c r="N258" s="154"/>
      <c r="O258" s="153"/>
      <c r="P258" s="154"/>
      <c r="Q258" s="153"/>
      <c r="R258" s="154"/>
      <c r="S258" s="153"/>
      <c r="T258" s="154"/>
      <c r="U258" s="219">
        <f t="shared" si="6"/>
        <v>0</v>
      </c>
      <c r="V258" s="219">
        <f t="shared" si="7"/>
        <v>0</v>
      </c>
    </row>
    <row r="259" spans="1:22" s="156" customFormat="1" ht="15">
      <c r="A259" s="201" t="s">
        <v>27</v>
      </c>
      <c r="B259" s="202" t="s">
        <v>292</v>
      </c>
      <c r="C259" s="202" t="s">
        <v>294</v>
      </c>
      <c r="D259" s="203" t="s">
        <v>930</v>
      </c>
      <c r="E259" s="153">
        <v>8277</v>
      </c>
      <c r="F259" s="154"/>
      <c r="G259" s="153"/>
      <c r="H259" s="155"/>
      <c r="I259" s="155"/>
      <c r="J259" s="155"/>
      <c r="K259" s="155"/>
      <c r="L259" s="154"/>
      <c r="M259" s="153"/>
      <c r="N259" s="154"/>
      <c r="O259" s="153"/>
      <c r="P259" s="154"/>
      <c r="Q259" s="153"/>
      <c r="R259" s="154"/>
      <c r="S259" s="153"/>
      <c r="T259" s="154"/>
      <c r="U259" s="219">
        <f t="shared" si="6"/>
        <v>0</v>
      </c>
      <c r="V259" s="219">
        <f t="shared" si="7"/>
        <v>0</v>
      </c>
    </row>
    <row r="260" spans="1:22" s="156" customFormat="1" ht="15">
      <c r="A260" s="201" t="s">
        <v>27</v>
      </c>
      <c r="B260" s="202" t="s">
        <v>292</v>
      </c>
      <c r="C260" s="202" t="s">
        <v>295</v>
      </c>
      <c r="D260" s="203" t="s">
        <v>931</v>
      </c>
      <c r="E260" s="153">
        <v>0</v>
      </c>
      <c r="F260" s="154"/>
      <c r="G260" s="153"/>
      <c r="H260" s="155"/>
      <c r="I260" s="155"/>
      <c r="J260" s="155"/>
      <c r="K260" s="155"/>
      <c r="L260" s="154"/>
      <c r="M260" s="153"/>
      <c r="N260" s="154"/>
      <c r="O260" s="153"/>
      <c r="P260" s="154"/>
      <c r="Q260" s="153"/>
      <c r="R260" s="154"/>
      <c r="S260" s="153"/>
      <c r="T260" s="154"/>
      <c r="U260" s="219">
        <f t="shared" si="6"/>
        <v>0</v>
      </c>
      <c r="V260" s="219">
        <f t="shared" si="7"/>
        <v>0</v>
      </c>
    </row>
    <row r="261" spans="1:22" s="156" customFormat="1" ht="15">
      <c r="A261" s="201" t="s">
        <v>27</v>
      </c>
      <c r="B261" s="202" t="s">
        <v>292</v>
      </c>
      <c r="C261" s="202" t="s">
        <v>296</v>
      </c>
      <c r="D261" s="203" t="s">
        <v>932</v>
      </c>
      <c r="E261" s="153">
        <v>266</v>
      </c>
      <c r="F261" s="154"/>
      <c r="G261" s="153"/>
      <c r="H261" s="155"/>
      <c r="I261" s="155"/>
      <c r="J261" s="155"/>
      <c r="K261" s="155"/>
      <c r="L261" s="154"/>
      <c r="M261" s="153"/>
      <c r="N261" s="154"/>
      <c r="O261" s="153"/>
      <c r="P261" s="154"/>
      <c r="Q261" s="153"/>
      <c r="R261" s="154"/>
      <c r="S261" s="153"/>
      <c r="T261" s="154"/>
      <c r="U261" s="219">
        <f t="shared" si="6"/>
        <v>0</v>
      </c>
      <c r="V261" s="219">
        <f t="shared" si="7"/>
        <v>0</v>
      </c>
    </row>
    <row r="262" spans="1:22" s="156" customFormat="1" ht="15">
      <c r="A262" s="201" t="s">
        <v>27</v>
      </c>
      <c r="B262" s="202" t="s">
        <v>292</v>
      </c>
      <c r="C262" s="202" t="s">
        <v>297</v>
      </c>
      <c r="D262" s="203" t="s">
        <v>933</v>
      </c>
      <c r="E262" s="153">
        <v>633</v>
      </c>
      <c r="F262" s="154"/>
      <c r="G262" s="153"/>
      <c r="H262" s="155"/>
      <c r="I262" s="155"/>
      <c r="J262" s="155"/>
      <c r="K262" s="155"/>
      <c r="L262" s="154"/>
      <c r="M262" s="153"/>
      <c r="N262" s="154"/>
      <c r="O262" s="153"/>
      <c r="P262" s="154"/>
      <c r="Q262" s="153"/>
      <c r="R262" s="154"/>
      <c r="S262" s="153"/>
      <c r="T262" s="154"/>
      <c r="U262" s="219">
        <f t="shared" si="6"/>
        <v>0</v>
      </c>
      <c r="V262" s="219">
        <f t="shared" si="7"/>
        <v>0</v>
      </c>
    </row>
    <row r="263" spans="1:22" s="156" customFormat="1" ht="15">
      <c r="A263" s="201" t="s">
        <v>27</v>
      </c>
      <c r="B263" s="202" t="s">
        <v>292</v>
      </c>
      <c r="C263" s="202" t="s">
        <v>298</v>
      </c>
      <c r="D263" s="203" t="s">
        <v>934</v>
      </c>
      <c r="E263" s="153"/>
      <c r="F263" s="154"/>
      <c r="G263" s="153"/>
      <c r="H263" s="155"/>
      <c r="I263" s="155"/>
      <c r="J263" s="155"/>
      <c r="K263" s="155"/>
      <c r="L263" s="154"/>
      <c r="M263" s="153"/>
      <c r="N263" s="154"/>
      <c r="O263" s="153"/>
      <c r="P263" s="154"/>
      <c r="Q263" s="153"/>
      <c r="R263" s="154"/>
      <c r="S263" s="153"/>
      <c r="T263" s="154"/>
      <c r="U263" s="219">
        <f t="shared" si="6"/>
        <v>0</v>
      </c>
      <c r="V263" s="219">
        <f t="shared" si="7"/>
        <v>0</v>
      </c>
    </row>
    <row r="264" spans="1:22" s="156" customFormat="1" ht="15">
      <c r="A264" s="201" t="s">
        <v>27</v>
      </c>
      <c r="B264" s="202" t="s">
        <v>292</v>
      </c>
      <c r="C264" s="202" t="s">
        <v>299</v>
      </c>
      <c r="D264" s="203" t="s">
        <v>935</v>
      </c>
      <c r="E264" s="153"/>
      <c r="F264" s="154"/>
      <c r="G264" s="153"/>
      <c r="H264" s="155"/>
      <c r="I264" s="155"/>
      <c r="J264" s="155"/>
      <c r="K264" s="155"/>
      <c r="L264" s="154"/>
      <c r="M264" s="153"/>
      <c r="N264" s="154"/>
      <c r="O264" s="153"/>
      <c r="P264" s="154"/>
      <c r="Q264" s="153"/>
      <c r="R264" s="154"/>
      <c r="S264" s="153"/>
      <c r="T264" s="154"/>
      <c r="U264" s="219">
        <f t="shared" si="6"/>
        <v>0</v>
      </c>
      <c r="V264" s="219">
        <f t="shared" si="7"/>
        <v>0</v>
      </c>
    </row>
    <row r="265" spans="1:22" s="156" customFormat="1" ht="15">
      <c r="A265" s="201" t="s">
        <v>27</v>
      </c>
      <c r="B265" s="202" t="s">
        <v>292</v>
      </c>
      <c r="C265" s="202" t="s">
        <v>300</v>
      </c>
      <c r="D265" s="203" t="s">
        <v>936</v>
      </c>
      <c r="E265" s="153"/>
      <c r="F265" s="154"/>
      <c r="G265" s="153"/>
      <c r="H265" s="155"/>
      <c r="I265" s="155"/>
      <c r="J265" s="155"/>
      <c r="K265" s="155"/>
      <c r="L265" s="154"/>
      <c r="M265" s="153"/>
      <c r="N265" s="154"/>
      <c r="O265" s="153"/>
      <c r="P265" s="154"/>
      <c r="Q265" s="153"/>
      <c r="R265" s="154"/>
      <c r="S265" s="153"/>
      <c r="T265" s="154"/>
      <c r="U265" s="219">
        <f t="shared" ref="U265:U270" si="8">M265+O265+Q265+S265</f>
        <v>0</v>
      </c>
      <c r="V265" s="219">
        <f t="shared" ref="V265:V270" si="9">N265+P265+R265+T265</f>
        <v>0</v>
      </c>
    </row>
    <row r="266" spans="1:22" s="156" customFormat="1" ht="15">
      <c r="A266" s="201" t="s">
        <v>27</v>
      </c>
      <c r="B266" s="202" t="s">
        <v>292</v>
      </c>
      <c r="C266" s="202" t="s">
        <v>301</v>
      </c>
      <c r="D266" s="203" t="s">
        <v>937</v>
      </c>
      <c r="E266" s="153"/>
      <c r="F266" s="154"/>
      <c r="G266" s="153"/>
      <c r="H266" s="155"/>
      <c r="I266" s="155"/>
      <c r="J266" s="155"/>
      <c r="K266" s="155"/>
      <c r="L266" s="154"/>
      <c r="M266" s="153"/>
      <c r="N266" s="154"/>
      <c r="O266" s="153"/>
      <c r="P266" s="154"/>
      <c r="Q266" s="153"/>
      <c r="R266" s="154"/>
      <c r="S266" s="153"/>
      <c r="T266" s="154"/>
      <c r="U266" s="219">
        <f t="shared" si="8"/>
        <v>0</v>
      </c>
      <c r="V266" s="219">
        <f t="shared" si="9"/>
        <v>0</v>
      </c>
    </row>
    <row r="267" spans="1:22" s="156" customFormat="1" ht="15">
      <c r="A267" s="201" t="s">
        <v>27</v>
      </c>
      <c r="B267" s="202" t="s">
        <v>292</v>
      </c>
      <c r="C267" s="202" t="s">
        <v>302</v>
      </c>
      <c r="D267" s="203" t="s">
        <v>938</v>
      </c>
      <c r="E267" s="153"/>
      <c r="F267" s="154"/>
      <c r="G267" s="153"/>
      <c r="H267" s="155"/>
      <c r="I267" s="155"/>
      <c r="J267" s="155"/>
      <c r="K267" s="155"/>
      <c r="L267" s="154"/>
      <c r="M267" s="153"/>
      <c r="N267" s="154"/>
      <c r="O267" s="153"/>
      <c r="P267" s="154"/>
      <c r="Q267" s="153"/>
      <c r="R267" s="154"/>
      <c r="S267" s="153"/>
      <c r="T267" s="154"/>
      <c r="U267" s="219">
        <f t="shared" si="8"/>
        <v>0</v>
      </c>
      <c r="V267" s="219">
        <f t="shared" si="9"/>
        <v>0</v>
      </c>
    </row>
    <row r="268" spans="1:22" s="156" customFormat="1" ht="15">
      <c r="A268" s="201" t="s">
        <v>27</v>
      </c>
      <c r="B268" s="202" t="s">
        <v>292</v>
      </c>
      <c r="C268" s="202" t="s">
        <v>303</v>
      </c>
      <c r="D268" s="203" t="s">
        <v>939</v>
      </c>
      <c r="E268" s="153"/>
      <c r="F268" s="154"/>
      <c r="G268" s="153"/>
      <c r="H268" s="155"/>
      <c r="I268" s="155"/>
      <c r="J268" s="155"/>
      <c r="K268" s="155"/>
      <c r="L268" s="154"/>
      <c r="M268" s="153"/>
      <c r="N268" s="154"/>
      <c r="O268" s="153"/>
      <c r="P268" s="154"/>
      <c r="Q268" s="153"/>
      <c r="R268" s="154"/>
      <c r="S268" s="153"/>
      <c r="T268" s="154"/>
      <c r="U268" s="219">
        <f t="shared" si="8"/>
        <v>0</v>
      </c>
      <c r="V268" s="219">
        <f t="shared" si="9"/>
        <v>0</v>
      </c>
    </row>
    <row r="269" spans="1:22" s="156" customFormat="1" ht="15">
      <c r="A269" s="201" t="s">
        <v>27</v>
      </c>
      <c r="B269" s="202" t="s">
        <v>292</v>
      </c>
      <c r="C269" s="202" t="s">
        <v>304</v>
      </c>
      <c r="D269" s="203" t="s">
        <v>940</v>
      </c>
      <c r="E269" s="153"/>
      <c r="F269" s="154"/>
      <c r="G269" s="153"/>
      <c r="H269" s="155"/>
      <c r="I269" s="155"/>
      <c r="J269" s="155"/>
      <c r="K269" s="155"/>
      <c r="L269" s="154"/>
      <c r="M269" s="153"/>
      <c r="N269" s="154"/>
      <c r="O269" s="153"/>
      <c r="P269" s="154"/>
      <c r="Q269" s="153"/>
      <c r="R269" s="154"/>
      <c r="S269" s="153"/>
      <c r="T269" s="154"/>
      <c r="U269" s="219">
        <f t="shared" si="8"/>
        <v>0</v>
      </c>
      <c r="V269" s="219">
        <f t="shared" si="9"/>
        <v>0</v>
      </c>
    </row>
    <row r="270" spans="1:22" s="156" customFormat="1" ht="15.75" thickBot="1">
      <c r="A270" s="208" t="s">
        <v>27</v>
      </c>
      <c r="B270" s="209" t="s">
        <v>292</v>
      </c>
      <c r="C270" s="209" t="s">
        <v>305</v>
      </c>
      <c r="D270" s="210" t="s">
        <v>941</v>
      </c>
      <c r="E270" s="220">
        <v>53</v>
      </c>
      <c r="F270" s="221"/>
      <c r="G270" s="220"/>
      <c r="H270" s="222"/>
      <c r="I270" s="222"/>
      <c r="J270" s="222"/>
      <c r="K270" s="222"/>
      <c r="L270" s="221"/>
      <c r="M270" s="220"/>
      <c r="N270" s="221"/>
      <c r="O270" s="220"/>
      <c r="P270" s="221"/>
      <c r="Q270" s="220"/>
      <c r="R270" s="221"/>
      <c r="S270" s="220"/>
      <c r="T270" s="221"/>
      <c r="U270" s="219">
        <f t="shared" si="8"/>
        <v>0</v>
      </c>
      <c r="V270" s="219">
        <f t="shared" si="9"/>
        <v>0</v>
      </c>
    </row>
    <row r="271" spans="1:22" ht="52.5" customHeight="1" thickBot="1">
      <c r="A271" s="311" t="s">
        <v>20</v>
      </c>
      <c r="B271" s="312"/>
      <c r="C271" s="312"/>
      <c r="D271" s="313"/>
      <c r="E271" s="62">
        <f>SUM(E8:E270)</f>
        <v>244302</v>
      </c>
      <c r="F271" s="58">
        <f t="shared" ref="F271:V271" si="10">SUM(F8:F270)</f>
        <v>0</v>
      </c>
      <c r="G271" s="62">
        <f t="shared" si="10"/>
        <v>258881</v>
      </c>
      <c r="H271" s="57">
        <f t="shared" si="10"/>
        <v>0</v>
      </c>
      <c r="I271" s="57">
        <f t="shared" si="10"/>
        <v>153744</v>
      </c>
      <c r="J271" s="57">
        <f t="shared" si="10"/>
        <v>0</v>
      </c>
      <c r="K271" s="57">
        <f t="shared" si="10"/>
        <v>294865</v>
      </c>
      <c r="L271" s="58">
        <f t="shared" si="10"/>
        <v>0</v>
      </c>
      <c r="M271" s="62">
        <f t="shared" si="10"/>
        <v>241492.44</v>
      </c>
      <c r="N271" s="58">
        <f t="shared" si="10"/>
        <v>0</v>
      </c>
      <c r="O271" s="62">
        <f t="shared" ref="O271:P271" si="11">SUM(O8:O270)</f>
        <v>24257.57</v>
      </c>
      <c r="P271" s="58">
        <f t="shared" si="11"/>
        <v>0</v>
      </c>
      <c r="Q271" s="62">
        <f t="shared" si="10"/>
        <v>74496.250000000015</v>
      </c>
      <c r="R271" s="58">
        <f t="shared" si="10"/>
        <v>0</v>
      </c>
      <c r="S271" s="62">
        <f t="shared" si="10"/>
        <v>14161.74</v>
      </c>
      <c r="T271" s="58">
        <f t="shared" si="10"/>
        <v>0</v>
      </c>
      <c r="U271" s="62">
        <f t="shared" si="10"/>
        <v>352808</v>
      </c>
      <c r="V271" s="58">
        <f t="shared" si="10"/>
        <v>0</v>
      </c>
    </row>
    <row r="273" spans="1:23" s="147" customFormat="1">
      <c r="A273" s="148"/>
      <c r="B273" s="149" t="s">
        <v>1360</v>
      </c>
      <c r="C273" s="148" t="s">
        <v>1361</v>
      </c>
      <c r="D273" s="211"/>
      <c r="E273" s="211">
        <v>5381</v>
      </c>
      <c r="F273" s="211"/>
      <c r="G273" s="211">
        <f>3424+5126</f>
        <v>8550</v>
      </c>
      <c r="H273" s="211"/>
      <c r="I273" s="211">
        <f>2324+3102</f>
        <v>5426</v>
      </c>
      <c r="J273" s="211"/>
      <c r="K273" s="211">
        <f>3657+5460</f>
        <v>9117</v>
      </c>
      <c r="L273" s="211"/>
      <c r="M273" s="211">
        <f>20064</f>
        <v>20064</v>
      </c>
      <c r="N273" s="211"/>
      <c r="O273" s="211"/>
      <c r="P273" s="211"/>
      <c r="Q273" s="211">
        <f>6771</f>
        <v>6771</v>
      </c>
      <c r="R273" s="211"/>
      <c r="S273" s="211"/>
      <c r="T273" s="211"/>
      <c r="U273" s="212">
        <f>M273+O273+Q273+S273</f>
        <v>26835</v>
      </c>
      <c r="V273" s="212">
        <f>N273+P273+R273+T273</f>
        <v>0</v>
      </c>
    </row>
    <row r="274" spans="1:23" s="147" customFormat="1">
      <c r="A274" s="148"/>
      <c r="B274" s="149" t="s">
        <v>1360</v>
      </c>
      <c r="C274" s="148" t="s">
        <v>1362</v>
      </c>
      <c r="D274" s="211"/>
      <c r="E274" s="211">
        <v>4529</v>
      </c>
      <c r="F274" s="211"/>
      <c r="G274" s="211">
        <f>2132+1071</f>
        <v>3203</v>
      </c>
      <c r="H274" s="211"/>
      <c r="I274" s="211">
        <f>1611+645</f>
        <v>2256</v>
      </c>
      <c r="J274" s="211"/>
      <c r="K274" s="211">
        <f>2277+1141</f>
        <v>3418</v>
      </c>
      <c r="L274" s="211"/>
      <c r="M274" s="211">
        <f>12600</f>
        <v>12600</v>
      </c>
      <c r="N274" s="211"/>
      <c r="O274" s="211"/>
      <c r="P274" s="211"/>
      <c r="Q274" s="211">
        <f>1426</f>
        <v>1426</v>
      </c>
      <c r="R274" s="211"/>
      <c r="S274" s="211"/>
      <c r="T274" s="211"/>
      <c r="U274" s="212">
        <f t="shared" ref="U274:U275" si="12">M274+O274+Q274+S274</f>
        <v>14026</v>
      </c>
      <c r="V274" s="212">
        <f t="shared" ref="V274:V275" si="13">N274+P274+R274+T274</f>
        <v>0</v>
      </c>
    </row>
    <row r="275" spans="1:23" s="147" customFormat="1" ht="13.5" thickBot="1">
      <c r="A275" s="213"/>
      <c r="B275" s="214" t="s">
        <v>1360</v>
      </c>
      <c r="C275" s="213" t="s">
        <v>1363</v>
      </c>
      <c r="D275" s="215"/>
      <c r="E275" s="215">
        <f>1322+1177+1441</f>
        <v>3940</v>
      </c>
      <c r="F275" s="215"/>
      <c r="G275" s="215">
        <f>339+1957</f>
        <v>2296</v>
      </c>
      <c r="H275" s="215"/>
      <c r="I275" s="215">
        <f>226+1129</f>
        <v>1355</v>
      </c>
      <c r="J275" s="215"/>
      <c r="K275" s="215">
        <f>362+2085</f>
        <v>2447</v>
      </c>
      <c r="L275" s="215"/>
      <c r="M275" s="215">
        <f>750</f>
        <v>750</v>
      </c>
      <c r="N275" s="215"/>
      <c r="O275" s="215"/>
      <c r="P275" s="215"/>
      <c r="Q275" s="215">
        <f>2502</f>
        <v>2502</v>
      </c>
      <c r="R275" s="215"/>
      <c r="S275" s="215"/>
      <c r="T275" s="215"/>
      <c r="U275" s="212">
        <f t="shared" si="12"/>
        <v>3252</v>
      </c>
      <c r="V275" s="212">
        <f t="shared" si="13"/>
        <v>0</v>
      </c>
      <c r="W275" s="224">
        <f>SUM(U273:U275)</f>
        <v>44113</v>
      </c>
    </row>
    <row r="276" spans="1:23" ht="52.5" customHeight="1" thickBot="1">
      <c r="A276" s="311" t="s">
        <v>317</v>
      </c>
      <c r="B276" s="312"/>
      <c r="C276" s="312"/>
      <c r="D276" s="313"/>
      <c r="E276" s="62">
        <f>E271+E273+E274+E275</f>
        <v>258152</v>
      </c>
      <c r="F276" s="57">
        <f t="shared" ref="F276:V276" si="14">F271+F273+F274+F275</f>
        <v>0</v>
      </c>
      <c r="G276" s="62">
        <f>G271+G273+G274+G275</f>
        <v>272930</v>
      </c>
      <c r="H276" s="57">
        <f t="shared" si="14"/>
        <v>0</v>
      </c>
      <c r="I276" s="57">
        <f t="shared" si="14"/>
        <v>162781</v>
      </c>
      <c r="J276" s="57">
        <f t="shared" si="14"/>
        <v>0</v>
      </c>
      <c r="K276" s="57">
        <f t="shared" si="14"/>
        <v>309847</v>
      </c>
      <c r="L276" s="58">
        <f t="shared" si="14"/>
        <v>0</v>
      </c>
      <c r="M276" s="62">
        <f t="shared" si="14"/>
        <v>274906.44</v>
      </c>
      <c r="N276" s="58">
        <f t="shared" si="14"/>
        <v>0</v>
      </c>
      <c r="O276" s="62">
        <f t="shared" si="14"/>
        <v>24257.57</v>
      </c>
      <c r="P276" s="58">
        <f t="shared" si="14"/>
        <v>0</v>
      </c>
      <c r="Q276" s="62">
        <f t="shared" si="14"/>
        <v>85195.250000000015</v>
      </c>
      <c r="R276" s="58">
        <f t="shared" si="14"/>
        <v>0</v>
      </c>
      <c r="S276" s="62">
        <f t="shared" si="14"/>
        <v>14161.74</v>
      </c>
      <c r="T276" s="58">
        <f t="shared" si="14"/>
        <v>0</v>
      </c>
      <c r="U276" s="62">
        <f>U271+U273+U274+U275</f>
        <v>396921</v>
      </c>
      <c r="V276" s="58">
        <f t="shared" si="14"/>
        <v>0</v>
      </c>
    </row>
  </sheetData>
  <autoFilter ref="A7:V271"/>
  <mergeCells count="21">
    <mergeCell ref="A1:V1"/>
    <mergeCell ref="A2:V2"/>
    <mergeCell ref="A3:V3"/>
    <mergeCell ref="M5:T5"/>
    <mergeCell ref="A276:D276"/>
    <mergeCell ref="A271:D271"/>
    <mergeCell ref="R4:V4"/>
    <mergeCell ref="Q6:R6"/>
    <mergeCell ref="S6:T6"/>
    <mergeCell ref="U5:V6"/>
    <mergeCell ref="G6:H6"/>
    <mergeCell ref="I6:J6"/>
    <mergeCell ref="K6:L6"/>
    <mergeCell ref="E6:F6"/>
    <mergeCell ref="G5:L5"/>
    <mergeCell ref="M6:N6"/>
    <mergeCell ref="E5:F5"/>
    <mergeCell ref="O6:P6"/>
    <mergeCell ref="D5:D7"/>
    <mergeCell ref="A5:C6"/>
    <mergeCell ref="A4:D4"/>
  </mergeCells>
  <printOptions horizontalCentered="1"/>
  <pageMargins left="0" right="0" top="0" bottom="0" header="0" footer="0"/>
  <pageSetup paperSize="9" scale="34" fitToHeight="0" orientation="portrait"/>
  <ignoredErrors>
    <ignoredError sqref="D8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4659260841701"/>
    <pageSetUpPr fitToPage="1"/>
  </sheetPr>
  <dimension ref="A1:V172"/>
  <sheetViews>
    <sheetView rightToLeft="1" topLeftCell="A4" zoomScaleSheetLayoutView="55" workbookViewId="0">
      <pane ySplit="41" topLeftCell="A47" activePane="bottomLeft" state="frozen"/>
      <selection activeCell="A4" sqref="A4"/>
      <selection pane="bottomLeft" activeCell="L86" sqref="A86:L87"/>
    </sheetView>
  </sheetViews>
  <sheetFormatPr defaultColWidth="9" defaultRowHeight="12.75"/>
  <cols>
    <col min="1" max="1" width="15.42578125" style="21" customWidth="1"/>
    <col min="2" max="2" width="15.42578125" style="23" customWidth="1"/>
    <col min="3" max="3" width="54.7109375" style="21" bestFit="1" customWidth="1"/>
    <col min="4" max="4" width="9" style="15" customWidth="1"/>
    <col min="5" max="6" width="10.140625" style="15" customWidth="1"/>
    <col min="7" max="7" width="12.7109375" style="15" bestFit="1" customWidth="1"/>
    <col min="8" max="21" width="9" style="15"/>
    <col min="22" max="22" width="12.42578125" style="15" bestFit="1" customWidth="1"/>
    <col min="23" max="16384" width="9" style="15"/>
  </cols>
  <sheetData>
    <row r="1" spans="1:22" s="53" customFormat="1" ht="15.75">
      <c r="A1" s="307" t="s">
        <v>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s="53" customFormat="1" ht="15.75">
      <c r="A2" s="307" t="s">
        <v>31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s="53" customFormat="1" ht="15.75">
      <c r="A3" s="307" t="s">
        <v>1262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s="53" customFormat="1" ht="16.5" thickBot="1">
      <c r="A4" s="306" t="s">
        <v>943</v>
      </c>
      <c r="B4" s="306"/>
      <c r="C4" s="306"/>
      <c r="D4" s="306"/>
      <c r="M4" s="126"/>
      <c r="N4" s="126"/>
      <c r="O4" s="126"/>
      <c r="P4" s="126"/>
      <c r="Q4" s="126"/>
      <c r="R4" s="126"/>
      <c r="S4" s="126"/>
      <c r="T4" s="314" t="s">
        <v>1</v>
      </c>
      <c r="U4" s="314"/>
      <c r="V4" s="314"/>
    </row>
    <row r="5" spans="1:22" ht="36" customHeight="1" thickBot="1">
      <c r="A5" s="246" t="s">
        <v>942</v>
      </c>
      <c r="B5" s="247"/>
      <c r="C5" s="248"/>
      <c r="D5" s="327" t="s">
        <v>945</v>
      </c>
      <c r="E5" s="299" t="s">
        <v>690</v>
      </c>
      <c r="F5" s="300"/>
      <c r="G5" s="299" t="s">
        <v>691</v>
      </c>
      <c r="H5" s="318"/>
      <c r="I5" s="318"/>
      <c r="J5" s="318"/>
      <c r="K5" s="318"/>
      <c r="L5" s="300"/>
      <c r="M5" s="308" t="s">
        <v>944</v>
      </c>
      <c r="N5" s="309"/>
      <c r="O5" s="330"/>
      <c r="P5" s="330"/>
      <c r="Q5" s="309"/>
      <c r="R5" s="309"/>
      <c r="S5" s="309"/>
      <c r="T5" s="310"/>
      <c r="U5" s="323" t="s">
        <v>944</v>
      </c>
      <c r="V5" s="324"/>
    </row>
    <row r="6" spans="1:22" ht="36" customHeight="1" thickBot="1">
      <c r="A6" s="249"/>
      <c r="B6" s="250"/>
      <c r="C6" s="251"/>
      <c r="D6" s="328"/>
      <c r="E6" s="234" t="s">
        <v>4</v>
      </c>
      <c r="F6" s="317"/>
      <c r="G6" s="234" t="s">
        <v>316</v>
      </c>
      <c r="H6" s="235"/>
      <c r="I6" s="235" t="s">
        <v>1083</v>
      </c>
      <c r="J6" s="235"/>
      <c r="K6" s="235" t="s">
        <v>1082</v>
      </c>
      <c r="L6" s="317"/>
      <c r="M6" s="301" t="s">
        <v>1345</v>
      </c>
      <c r="N6" s="319"/>
      <c r="O6" s="301" t="s">
        <v>1346</v>
      </c>
      <c r="P6" s="302"/>
      <c r="Q6" s="315" t="s">
        <v>1344</v>
      </c>
      <c r="R6" s="302"/>
      <c r="S6" s="301" t="s">
        <v>1357</v>
      </c>
      <c r="T6" s="302"/>
      <c r="U6" s="325"/>
      <c r="V6" s="326"/>
    </row>
    <row r="7" spans="1:22" s="16" customFormat="1" ht="39" customHeight="1" thickBot="1">
      <c r="A7" s="48" t="s">
        <v>34</v>
      </c>
      <c r="B7" s="49" t="s">
        <v>35</v>
      </c>
      <c r="C7" s="70" t="s">
        <v>36</v>
      </c>
      <c r="D7" s="329"/>
      <c r="E7" s="67" t="s">
        <v>687</v>
      </c>
      <c r="F7" s="68" t="s">
        <v>688</v>
      </c>
      <c r="G7" s="67" t="s">
        <v>687</v>
      </c>
      <c r="H7" s="69" t="s">
        <v>688</v>
      </c>
      <c r="I7" s="69" t="s">
        <v>687</v>
      </c>
      <c r="J7" s="69" t="s">
        <v>688</v>
      </c>
      <c r="K7" s="69" t="s">
        <v>687</v>
      </c>
      <c r="L7" s="68" t="s">
        <v>688</v>
      </c>
      <c r="M7" s="82" t="s">
        <v>687</v>
      </c>
      <c r="N7" s="195" t="s">
        <v>688</v>
      </c>
      <c r="O7" s="67" t="s">
        <v>687</v>
      </c>
      <c r="P7" s="68" t="s">
        <v>688</v>
      </c>
      <c r="Q7" s="196" t="s">
        <v>687</v>
      </c>
      <c r="R7" s="83" t="s">
        <v>688</v>
      </c>
      <c r="S7" s="82" t="s">
        <v>687</v>
      </c>
      <c r="T7" s="83" t="s">
        <v>688</v>
      </c>
      <c r="U7" s="67" t="s">
        <v>687</v>
      </c>
      <c r="V7" s="68" t="s">
        <v>688</v>
      </c>
    </row>
    <row r="8" spans="1:22" ht="15.75" customHeight="1">
      <c r="A8" s="17" t="s">
        <v>473</v>
      </c>
      <c r="B8" s="18" t="s">
        <v>480</v>
      </c>
      <c r="C8" s="71" t="s">
        <v>506</v>
      </c>
      <c r="D8" s="76" t="s">
        <v>947</v>
      </c>
      <c r="E8" s="64"/>
      <c r="F8" s="65"/>
      <c r="G8" s="64"/>
      <c r="H8" s="66"/>
      <c r="I8" s="66"/>
      <c r="J8" s="66"/>
      <c r="K8" s="66"/>
      <c r="L8" s="90"/>
      <c r="M8" s="86"/>
      <c r="N8" s="87"/>
      <c r="O8" s="199"/>
      <c r="P8" s="90"/>
      <c r="Q8" s="91"/>
      <c r="R8" s="94"/>
      <c r="S8" s="86"/>
      <c r="T8" s="87"/>
      <c r="U8" s="96">
        <f t="shared" ref="U8:U20" si="0">M8+Q8+S8</f>
        <v>0</v>
      </c>
      <c r="V8" s="80">
        <f t="shared" ref="V8:V20" si="1">N8+R8+T8</f>
        <v>0</v>
      </c>
    </row>
    <row r="9" spans="1:22" ht="15.75" customHeight="1">
      <c r="A9" s="19" t="s">
        <v>473</v>
      </c>
      <c r="B9" s="20" t="s">
        <v>480</v>
      </c>
      <c r="C9" s="72" t="s">
        <v>507</v>
      </c>
      <c r="D9" s="77" t="s">
        <v>948</v>
      </c>
      <c r="E9" s="54"/>
      <c r="F9" s="63"/>
      <c r="G9" s="54"/>
      <c r="H9" s="55"/>
      <c r="I9" s="55"/>
      <c r="J9" s="55"/>
      <c r="K9" s="55"/>
      <c r="L9" s="59"/>
      <c r="M9" s="54"/>
      <c r="N9" s="63"/>
      <c r="O9" s="92"/>
      <c r="P9" s="59"/>
      <c r="Q9" s="92"/>
      <c r="R9" s="59"/>
      <c r="S9" s="54"/>
      <c r="T9" s="63"/>
      <c r="U9" s="97">
        <f t="shared" si="0"/>
        <v>0</v>
      </c>
      <c r="V9" s="56">
        <f t="shared" si="1"/>
        <v>0</v>
      </c>
    </row>
    <row r="10" spans="1:22" ht="15.75" customHeight="1">
      <c r="A10" s="127" t="s">
        <v>473</v>
      </c>
      <c r="B10" s="128" t="s">
        <v>480</v>
      </c>
      <c r="C10" s="129" t="s">
        <v>508</v>
      </c>
      <c r="D10" s="77" t="s">
        <v>949</v>
      </c>
      <c r="E10" s="54"/>
      <c r="F10" s="63"/>
      <c r="G10" s="54"/>
      <c r="H10" s="55"/>
      <c r="I10" s="55"/>
      <c r="J10" s="55"/>
      <c r="K10" s="55"/>
      <c r="L10" s="59"/>
      <c r="M10" s="54"/>
      <c r="N10" s="63"/>
      <c r="O10" s="92"/>
      <c r="P10" s="59"/>
      <c r="Q10" s="92"/>
      <c r="R10" s="59"/>
      <c r="S10" s="54"/>
      <c r="T10" s="63"/>
      <c r="U10" s="97">
        <f t="shared" si="0"/>
        <v>0</v>
      </c>
      <c r="V10" s="56">
        <f t="shared" si="1"/>
        <v>0</v>
      </c>
    </row>
    <row r="11" spans="1:22" ht="15.75" customHeight="1">
      <c r="A11" s="127" t="s">
        <v>473</v>
      </c>
      <c r="B11" s="128" t="s">
        <v>480</v>
      </c>
      <c r="C11" s="129" t="s">
        <v>509</v>
      </c>
      <c r="D11" s="77" t="s">
        <v>950</v>
      </c>
      <c r="E11" s="54"/>
      <c r="F11" s="63"/>
      <c r="G11" s="54"/>
      <c r="H11" s="55"/>
      <c r="I11" s="55"/>
      <c r="J11" s="55"/>
      <c r="K11" s="55"/>
      <c r="L11" s="59"/>
      <c r="M11" s="54"/>
      <c r="N11" s="63"/>
      <c r="O11" s="92"/>
      <c r="P11" s="59"/>
      <c r="Q11" s="92"/>
      <c r="R11" s="59"/>
      <c r="S11" s="54"/>
      <c r="T11" s="63"/>
      <c r="U11" s="97">
        <f t="shared" si="0"/>
        <v>0</v>
      </c>
      <c r="V11" s="56">
        <f t="shared" si="1"/>
        <v>0</v>
      </c>
    </row>
    <row r="12" spans="1:22" ht="15.75" customHeight="1">
      <c r="A12" s="127" t="s">
        <v>473</v>
      </c>
      <c r="B12" s="128" t="s">
        <v>480</v>
      </c>
      <c r="C12" s="129" t="s">
        <v>510</v>
      </c>
      <c r="D12" s="77" t="s">
        <v>951</v>
      </c>
      <c r="E12" s="54"/>
      <c r="F12" s="63"/>
      <c r="G12" s="54"/>
      <c r="H12" s="55"/>
      <c r="I12" s="55"/>
      <c r="J12" s="55"/>
      <c r="K12" s="55"/>
      <c r="L12" s="59"/>
      <c r="M12" s="54"/>
      <c r="N12" s="63"/>
      <c r="O12" s="92"/>
      <c r="P12" s="59"/>
      <c r="Q12" s="92"/>
      <c r="R12" s="59"/>
      <c r="S12" s="54"/>
      <c r="T12" s="63"/>
      <c r="U12" s="97">
        <f t="shared" si="0"/>
        <v>0</v>
      </c>
      <c r="V12" s="56">
        <f t="shared" si="1"/>
        <v>0</v>
      </c>
    </row>
    <row r="13" spans="1:22" ht="15.75" customHeight="1">
      <c r="A13" s="127" t="s">
        <v>473</v>
      </c>
      <c r="B13" s="128" t="s">
        <v>480</v>
      </c>
      <c r="C13" s="129" t="s">
        <v>511</v>
      </c>
      <c r="D13" s="77" t="s">
        <v>952</v>
      </c>
      <c r="E13" s="54"/>
      <c r="F13" s="63"/>
      <c r="G13" s="54"/>
      <c r="H13" s="55"/>
      <c r="I13" s="55"/>
      <c r="J13" s="55"/>
      <c r="K13" s="55"/>
      <c r="L13" s="59"/>
      <c r="M13" s="54"/>
      <c r="N13" s="63"/>
      <c r="O13" s="92"/>
      <c r="P13" s="59"/>
      <c r="Q13" s="92"/>
      <c r="R13" s="59"/>
      <c r="S13" s="54"/>
      <c r="T13" s="63"/>
      <c r="U13" s="97">
        <f t="shared" si="0"/>
        <v>0</v>
      </c>
      <c r="V13" s="56">
        <f t="shared" si="1"/>
        <v>0</v>
      </c>
    </row>
    <row r="14" spans="1:22" ht="15.75" customHeight="1">
      <c r="A14" s="127" t="s">
        <v>473</v>
      </c>
      <c r="B14" s="128" t="s">
        <v>481</v>
      </c>
      <c r="C14" s="129" t="s">
        <v>512</v>
      </c>
      <c r="D14" s="77" t="s">
        <v>953</v>
      </c>
      <c r="E14" s="54"/>
      <c r="F14" s="63"/>
      <c r="G14" s="54"/>
      <c r="H14" s="55"/>
      <c r="I14" s="55"/>
      <c r="J14" s="55"/>
      <c r="K14" s="55"/>
      <c r="L14" s="59"/>
      <c r="M14" s="54"/>
      <c r="N14" s="63"/>
      <c r="O14" s="92"/>
      <c r="P14" s="59"/>
      <c r="Q14" s="92"/>
      <c r="R14" s="59"/>
      <c r="S14" s="54"/>
      <c r="T14" s="63"/>
      <c r="U14" s="97">
        <f t="shared" si="0"/>
        <v>0</v>
      </c>
      <c r="V14" s="56">
        <f t="shared" si="1"/>
        <v>0</v>
      </c>
    </row>
    <row r="15" spans="1:22" ht="15.75" customHeight="1">
      <c r="A15" s="127" t="s">
        <v>473</v>
      </c>
      <c r="B15" s="128" t="s">
        <v>481</v>
      </c>
      <c r="C15" s="129" t="s">
        <v>513</v>
      </c>
      <c r="D15" s="77" t="s">
        <v>954</v>
      </c>
      <c r="E15" s="54"/>
      <c r="F15" s="63"/>
      <c r="G15" s="54"/>
      <c r="H15" s="55"/>
      <c r="I15" s="55"/>
      <c r="J15" s="55"/>
      <c r="K15" s="55"/>
      <c r="L15" s="59"/>
      <c r="M15" s="54"/>
      <c r="N15" s="63"/>
      <c r="O15" s="92"/>
      <c r="P15" s="59"/>
      <c r="Q15" s="92"/>
      <c r="R15" s="59"/>
      <c r="S15" s="54"/>
      <c r="T15" s="63"/>
      <c r="U15" s="97">
        <f t="shared" si="0"/>
        <v>0</v>
      </c>
      <c r="V15" s="56">
        <f t="shared" si="1"/>
        <v>0</v>
      </c>
    </row>
    <row r="16" spans="1:22" ht="15.75" customHeight="1">
      <c r="A16" s="127" t="s">
        <v>473</v>
      </c>
      <c r="B16" s="128" t="s">
        <v>481</v>
      </c>
      <c r="C16" s="129" t="s">
        <v>514</v>
      </c>
      <c r="D16" s="77" t="s">
        <v>955</v>
      </c>
      <c r="E16" s="54"/>
      <c r="F16" s="63"/>
      <c r="G16" s="54"/>
      <c r="H16" s="55"/>
      <c r="I16" s="55"/>
      <c r="J16" s="55"/>
      <c r="K16" s="55"/>
      <c r="L16" s="59"/>
      <c r="M16" s="54"/>
      <c r="N16" s="63"/>
      <c r="O16" s="92"/>
      <c r="P16" s="59"/>
      <c r="Q16" s="92"/>
      <c r="R16" s="59"/>
      <c r="S16" s="54"/>
      <c r="T16" s="63"/>
      <c r="U16" s="97">
        <f t="shared" si="0"/>
        <v>0</v>
      </c>
      <c r="V16" s="56">
        <f t="shared" si="1"/>
        <v>0</v>
      </c>
    </row>
    <row r="17" spans="1:22" ht="15.75" customHeight="1">
      <c r="A17" s="127" t="s">
        <v>473</v>
      </c>
      <c r="B17" s="128" t="s">
        <v>481</v>
      </c>
      <c r="C17" s="129" t="s">
        <v>515</v>
      </c>
      <c r="D17" s="77" t="s">
        <v>956</v>
      </c>
      <c r="E17" s="54"/>
      <c r="F17" s="63"/>
      <c r="G17" s="54"/>
      <c r="H17" s="55"/>
      <c r="I17" s="55"/>
      <c r="J17" s="55"/>
      <c r="K17" s="55"/>
      <c r="L17" s="59"/>
      <c r="M17" s="54"/>
      <c r="N17" s="63"/>
      <c r="O17" s="92"/>
      <c r="P17" s="59"/>
      <c r="Q17" s="92"/>
      <c r="R17" s="59"/>
      <c r="S17" s="54"/>
      <c r="T17" s="63"/>
      <c r="U17" s="97">
        <f t="shared" si="0"/>
        <v>0</v>
      </c>
      <c r="V17" s="56">
        <f t="shared" si="1"/>
        <v>0</v>
      </c>
    </row>
    <row r="18" spans="1:22" ht="15.75" customHeight="1">
      <c r="A18" s="127" t="s">
        <v>473</v>
      </c>
      <c r="B18" s="128" t="s">
        <v>481</v>
      </c>
      <c r="C18" s="129" t="s">
        <v>516</v>
      </c>
      <c r="D18" s="77" t="s">
        <v>957</v>
      </c>
      <c r="E18" s="54"/>
      <c r="F18" s="63"/>
      <c r="G18" s="54"/>
      <c r="H18" s="55"/>
      <c r="I18" s="55"/>
      <c r="J18" s="55"/>
      <c r="K18" s="55"/>
      <c r="L18" s="59"/>
      <c r="M18" s="54"/>
      <c r="N18" s="63"/>
      <c r="O18" s="92"/>
      <c r="P18" s="59"/>
      <c r="Q18" s="92"/>
      <c r="R18" s="59"/>
      <c r="S18" s="54"/>
      <c r="T18" s="63"/>
      <c r="U18" s="97">
        <f t="shared" si="0"/>
        <v>0</v>
      </c>
      <c r="V18" s="56">
        <f t="shared" si="1"/>
        <v>0</v>
      </c>
    </row>
    <row r="19" spans="1:22" ht="15.75" customHeight="1">
      <c r="A19" s="127" t="s">
        <v>473</v>
      </c>
      <c r="B19" s="128" t="s">
        <v>481</v>
      </c>
      <c r="C19" s="129" t="s">
        <v>517</v>
      </c>
      <c r="D19" s="77" t="s">
        <v>958</v>
      </c>
      <c r="E19" s="54"/>
      <c r="F19" s="63"/>
      <c r="G19" s="54"/>
      <c r="H19" s="55"/>
      <c r="I19" s="55"/>
      <c r="J19" s="55"/>
      <c r="K19" s="55"/>
      <c r="L19" s="59"/>
      <c r="M19" s="54"/>
      <c r="N19" s="63"/>
      <c r="O19" s="92"/>
      <c r="P19" s="59"/>
      <c r="Q19" s="92"/>
      <c r="R19" s="59"/>
      <c r="S19" s="54"/>
      <c r="T19" s="63"/>
      <c r="U19" s="97">
        <f t="shared" si="0"/>
        <v>0</v>
      </c>
      <c r="V19" s="56">
        <f t="shared" si="1"/>
        <v>0</v>
      </c>
    </row>
    <row r="20" spans="1:22" ht="15.75" customHeight="1">
      <c r="A20" s="127" t="s">
        <v>473</v>
      </c>
      <c r="B20" s="128" t="s">
        <v>482</v>
      </c>
      <c r="C20" s="129" t="s">
        <v>518</v>
      </c>
      <c r="D20" s="77" t="s">
        <v>959</v>
      </c>
      <c r="E20" s="54"/>
      <c r="F20" s="63"/>
      <c r="G20" s="54"/>
      <c r="H20" s="55"/>
      <c r="I20" s="55"/>
      <c r="J20" s="55"/>
      <c r="K20" s="55"/>
      <c r="L20" s="59"/>
      <c r="M20" s="54"/>
      <c r="N20" s="63"/>
      <c r="O20" s="92"/>
      <c r="P20" s="59"/>
      <c r="Q20" s="92"/>
      <c r="R20" s="59"/>
      <c r="S20" s="54"/>
      <c r="T20" s="63"/>
      <c r="U20" s="97">
        <f t="shared" si="0"/>
        <v>0</v>
      </c>
      <c r="V20" s="56">
        <f t="shared" si="1"/>
        <v>0</v>
      </c>
    </row>
    <row r="21" spans="1:22" ht="15.75" customHeight="1">
      <c r="A21" s="127" t="s">
        <v>473</v>
      </c>
      <c r="B21" s="128" t="s">
        <v>482</v>
      </c>
      <c r="C21" s="129" t="s">
        <v>1283</v>
      </c>
      <c r="D21" s="77" t="s">
        <v>1284</v>
      </c>
      <c r="E21" s="54"/>
      <c r="F21" s="63"/>
      <c r="G21" s="54"/>
      <c r="H21" s="55"/>
      <c r="I21" s="55"/>
      <c r="J21" s="55"/>
      <c r="K21" s="55"/>
      <c r="L21" s="59"/>
      <c r="M21" s="54"/>
      <c r="N21" s="63"/>
      <c r="O21" s="92"/>
      <c r="P21" s="59"/>
      <c r="Q21" s="92"/>
      <c r="R21" s="59"/>
      <c r="S21" s="54"/>
      <c r="T21" s="63"/>
      <c r="U21" s="97"/>
      <c r="V21" s="56"/>
    </row>
    <row r="22" spans="1:22" ht="15.75" customHeight="1">
      <c r="A22" s="127" t="s">
        <v>473</v>
      </c>
      <c r="B22" s="128" t="s">
        <v>482</v>
      </c>
      <c r="C22" s="129" t="s">
        <v>1285</v>
      </c>
      <c r="D22" s="77" t="s">
        <v>1286</v>
      </c>
      <c r="E22" s="54"/>
      <c r="F22" s="63"/>
      <c r="G22" s="54"/>
      <c r="H22" s="55"/>
      <c r="I22" s="55"/>
      <c r="J22" s="55"/>
      <c r="K22" s="55"/>
      <c r="L22" s="59"/>
      <c r="M22" s="54"/>
      <c r="N22" s="63"/>
      <c r="O22" s="92"/>
      <c r="P22" s="59"/>
      <c r="Q22" s="92"/>
      <c r="R22" s="59"/>
      <c r="S22" s="54"/>
      <c r="T22" s="63"/>
      <c r="U22" s="97"/>
      <c r="V22" s="56"/>
    </row>
    <row r="23" spans="1:22" ht="15.75" customHeight="1">
      <c r="A23" s="127" t="s">
        <v>473</v>
      </c>
      <c r="B23" s="128" t="s">
        <v>483</v>
      </c>
      <c r="C23" s="129" t="s">
        <v>519</v>
      </c>
      <c r="D23" s="77" t="s">
        <v>960</v>
      </c>
      <c r="E23" s="54"/>
      <c r="F23" s="63"/>
      <c r="G23" s="54"/>
      <c r="H23" s="55"/>
      <c r="I23" s="55"/>
      <c r="J23" s="55"/>
      <c r="K23" s="55"/>
      <c r="L23" s="59"/>
      <c r="M23" s="54"/>
      <c r="N23" s="63"/>
      <c r="O23" s="92"/>
      <c r="P23" s="59"/>
      <c r="Q23" s="92"/>
      <c r="R23" s="59"/>
      <c r="S23" s="54"/>
      <c r="T23" s="63"/>
      <c r="U23" s="97">
        <f>M23+Q23+S23</f>
        <v>0</v>
      </c>
      <c r="V23" s="56">
        <f>N23+R23+T23</f>
        <v>0</v>
      </c>
    </row>
    <row r="24" spans="1:22" ht="15.75" customHeight="1">
      <c r="A24" s="127" t="s">
        <v>473</v>
      </c>
      <c r="B24" s="128" t="s">
        <v>483</v>
      </c>
      <c r="C24" s="129" t="s">
        <v>1287</v>
      </c>
      <c r="D24" s="77" t="s">
        <v>1288</v>
      </c>
      <c r="E24" s="54"/>
      <c r="F24" s="63"/>
      <c r="G24" s="54"/>
      <c r="H24" s="55"/>
      <c r="I24" s="55"/>
      <c r="J24" s="55"/>
      <c r="K24" s="55"/>
      <c r="L24" s="59"/>
      <c r="M24" s="54"/>
      <c r="N24" s="63"/>
      <c r="O24" s="92"/>
      <c r="P24" s="59"/>
      <c r="Q24" s="92"/>
      <c r="R24" s="59"/>
      <c r="S24" s="54"/>
      <c r="T24" s="63"/>
      <c r="U24" s="97"/>
      <c r="V24" s="56"/>
    </row>
    <row r="25" spans="1:22" ht="15.75" customHeight="1">
      <c r="A25" s="127" t="s">
        <v>473</v>
      </c>
      <c r="B25" s="128" t="s">
        <v>483</v>
      </c>
      <c r="C25" s="129" t="s">
        <v>1289</v>
      </c>
      <c r="D25" s="77" t="s">
        <v>1290</v>
      </c>
      <c r="E25" s="54"/>
      <c r="F25" s="63"/>
      <c r="G25" s="54"/>
      <c r="H25" s="55"/>
      <c r="I25" s="55"/>
      <c r="J25" s="55"/>
      <c r="K25" s="55"/>
      <c r="L25" s="59"/>
      <c r="M25" s="54"/>
      <c r="N25" s="63"/>
      <c r="O25" s="92"/>
      <c r="P25" s="59"/>
      <c r="Q25" s="92"/>
      <c r="R25" s="59"/>
      <c r="S25" s="54"/>
      <c r="T25" s="63"/>
      <c r="U25" s="97"/>
      <c r="V25" s="56"/>
    </row>
    <row r="26" spans="1:22" ht="15.75" customHeight="1">
      <c r="A26" s="127" t="s">
        <v>473</v>
      </c>
      <c r="B26" s="128" t="s">
        <v>482</v>
      </c>
      <c r="C26" s="129" t="s">
        <v>278</v>
      </c>
      <c r="D26" s="77" t="s">
        <v>961</v>
      </c>
      <c r="E26" s="54"/>
      <c r="F26" s="63"/>
      <c r="G26" s="54"/>
      <c r="H26" s="55"/>
      <c r="I26" s="55"/>
      <c r="J26" s="55"/>
      <c r="K26" s="55"/>
      <c r="L26" s="59"/>
      <c r="M26" s="54"/>
      <c r="N26" s="63"/>
      <c r="O26" s="92"/>
      <c r="P26" s="59"/>
      <c r="Q26" s="92"/>
      <c r="R26" s="59"/>
      <c r="S26" s="54"/>
      <c r="T26" s="63"/>
      <c r="U26" s="97">
        <f t="shared" ref="U26:U39" si="2">M26+Q26+S26</f>
        <v>0</v>
      </c>
      <c r="V26" s="56">
        <f t="shared" ref="V26:V39" si="3">N26+R26+T26</f>
        <v>0</v>
      </c>
    </row>
    <row r="27" spans="1:22" ht="15.75" customHeight="1">
      <c r="A27" s="127" t="s">
        <v>474</v>
      </c>
      <c r="B27" s="128" t="s">
        <v>484</v>
      </c>
      <c r="C27" s="129" t="s">
        <v>520</v>
      </c>
      <c r="D27" s="77" t="s">
        <v>962</v>
      </c>
      <c r="E27" s="54"/>
      <c r="F27" s="63"/>
      <c r="G27" s="54"/>
      <c r="H27" s="55"/>
      <c r="I27" s="55"/>
      <c r="J27" s="55"/>
      <c r="K27" s="55"/>
      <c r="L27" s="59"/>
      <c r="M27" s="54"/>
      <c r="N27" s="63"/>
      <c r="O27" s="92"/>
      <c r="P27" s="59"/>
      <c r="Q27" s="92"/>
      <c r="R27" s="59"/>
      <c r="S27" s="54"/>
      <c r="T27" s="63"/>
      <c r="U27" s="97">
        <f t="shared" si="2"/>
        <v>0</v>
      </c>
      <c r="V27" s="56">
        <f t="shared" si="3"/>
        <v>0</v>
      </c>
    </row>
    <row r="28" spans="1:22" ht="15.75" customHeight="1">
      <c r="A28" s="127" t="s">
        <v>474</v>
      </c>
      <c r="B28" s="128" t="s">
        <v>484</v>
      </c>
      <c r="C28" s="129" t="s">
        <v>521</v>
      </c>
      <c r="D28" s="77" t="s">
        <v>963</v>
      </c>
      <c r="E28" s="54"/>
      <c r="F28" s="63"/>
      <c r="G28" s="54"/>
      <c r="H28" s="55"/>
      <c r="I28" s="55"/>
      <c r="J28" s="55"/>
      <c r="K28" s="55"/>
      <c r="L28" s="59"/>
      <c r="M28" s="54"/>
      <c r="N28" s="63"/>
      <c r="O28" s="92"/>
      <c r="P28" s="59"/>
      <c r="Q28" s="92"/>
      <c r="R28" s="59"/>
      <c r="S28" s="54"/>
      <c r="T28" s="63"/>
      <c r="U28" s="97">
        <f t="shared" si="2"/>
        <v>0</v>
      </c>
      <c r="V28" s="56">
        <f t="shared" si="3"/>
        <v>0</v>
      </c>
    </row>
    <row r="29" spans="1:22" ht="15.75" customHeight="1">
      <c r="A29" s="127" t="s">
        <v>474</v>
      </c>
      <c r="B29" s="128" t="s">
        <v>484</v>
      </c>
      <c r="C29" s="129" t="s">
        <v>522</v>
      </c>
      <c r="D29" s="77" t="s">
        <v>964</v>
      </c>
      <c r="E29" s="54"/>
      <c r="F29" s="63"/>
      <c r="G29" s="54"/>
      <c r="H29" s="55"/>
      <c r="I29" s="55"/>
      <c r="J29" s="55"/>
      <c r="K29" s="55"/>
      <c r="L29" s="59"/>
      <c r="M29" s="54"/>
      <c r="N29" s="63"/>
      <c r="O29" s="92"/>
      <c r="P29" s="59"/>
      <c r="Q29" s="92"/>
      <c r="R29" s="59"/>
      <c r="S29" s="54"/>
      <c r="T29" s="63"/>
      <c r="U29" s="97">
        <f t="shared" si="2"/>
        <v>0</v>
      </c>
      <c r="V29" s="56">
        <f t="shared" si="3"/>
        <v>0</v>
      </c>
    </row>
    <row r="30" spans="1:22" ht="15.75" customHeight="1">
      <c r="A30" s="127" t="s">
        <v>474</v>
      </c>
      <c r="B30" s="128" t="s">
        <v>645</v>
      </c>
      <c r="C30" s="129" t="s">
        <v>639</v>
      </c>
      <c r="D30" s="77" t="s">
        <v>965</v>
      </c>
      <c r="E30" s="54"/>
      <c r="F30" s="63"/>
      <c r="G30" s="54"/>
      <c r="H30" s="55"/>
      <c r="I30" s="55"/>
      <c r="J30" s="55"/>
      <c r="K30" s="55"/>
      <c r="L30" s="59"/>
      <c r="M30" s="54"/>
      <c r="N30" s="63"/>
      <c r="O30" s="92"/>
      <c r="P30" s="59"/>
      <c r="Q30" s="92"/>
      <c r="R30" s="59"/>
      <c r="S30" s="54"/>
      <c r="T30" s="63"/>
      <c r="U30" s="97">
        <f t="shared" si="2"/>
        <v>0</v>
      </c>
      <c r="V30" s="56">
        <f t="shared" si="3"/>
        <v>0</v>
      </c>
    </row>
    <row r="31" spans="1:22" ht="15.75" customHeight="1">
      <c r="A31" s="127" t="s">
        <v>474</v>
      </c>
      <c r="B31" s="128" t="s">
        <v>645</v>
      </c>
      <c r="C31" s="129" t="s">
        <v>653</v>
      </c>
      <c r="D31" s="77" t="s">
        <v>966</v>
      </c>
      <c r="E31" s="54"/>
      <c r="F31" s="63"/>
      <c r="G31" s="54"/>
      <c r="H31" s="55"/>
      <c r="I31" s="55"/>
      <c r="J31" s="55"/>
      <c r="K31" s="55"/>
      <c r="L31" s="59"/>
      <c r="M31" s="54"/>
      <c r="N31" s="63"/>
      <c r="O31" s="92"/>
      <c r="P31" s="59"/>
      <c r="Q31" s="92"/>
      <c r="R31" s="59"/>
      <c r="S31" s="54"/>
      <c r="T31" s="63"/>
      <c r="U31" s="97">
        <f t="shared" si="2"/>
        <v>0</v>
      </c>
      <c r="V31" s="56">
        <f t="shared" si="3"/>
        <v>0</v>
      </c>
    </row>
    <row r="32" spans="1:22" ht="15.75" customHeight="1">
      <c r="A32" s="127" t="s">
        <v>474</v>
      </c>
      <c r="B32" s="128" t="s">
        <v>645</v>
      </c>
      <c r="C32" s="129" t="s">
        <v>654</v>
      </c>
      <c r="D32" s="77" t="s">
        <v>967</v>
      </c>
      <c r="E32" s="54"/>
      <c r="F32" s="63"/>
      <c r="G32" s="54"/>
      <c r="H32" s="55"/>
      <c r="I32" s="55"/>
      <c r="J32" s="55"/>
      <c r="K32" s="55"/>
      <c r="L32" s="59"/>
      <c r="M32" s="54"/>
      <c r="N32" s="63"/>
      <c r="O32" s="92"/>
      <c r="P32" s="59"/>
      <c r="Q32" s="92"/>
      <c r="R32" s="59"/>
      <c r="S32" s="54"/>
      <c r="T32" s="63"/>
      <c r="U32" s="97">
        <f t="shared" si="2"/>
        <v>0</v>
      </c>
      <c r="V32" s="56">
        <f t="shared" si="3"/>
        <v>0</v>
      </c>
    </row>
    <row r="33" spans="1:22" ht="15.75" customHeight="1">
      <c r="A33" s="127" t="s">
        <v>474</v>
      </c>
      <c r="B33" s="128" t="s">
        <v>645</v>
      </c>
      <c r="C33" s="129" t="s">
        <v>655</v>
      </c>
      <c r="D33" s="77" t="s">
        <v>968</v>
      </c>
      <c r="E33" s="54"/>
      <c r="F33" s="63"/>
      <c r="G33" s="54"/>
      <c r="H33" s="55"/>
      <c r="I33" s="55"/>
      <c r="J33" s="55"/>
      <c r="K33" s="55"/>
      <c r="L33" s="59"/>
      <c r="M33" s="54"/>
      <c r="N33" s="63"/>
      <c r="O33" s="92"/>
      <c r="P33" s="59"/>
      <c r="Q33" s="92"/>
      <c r="R33" s="59"/>
      <c r="S33" s="54"/>
      <c r="T33" s="63"/>
      <c r="U33" s="97">
        <f t="shared" si="2"/>
        <v>0</v>
      </c>
      <c r="V33" s="56">
        <f t="shared" si="3"/>
        <v>0</v>
      </c>
    </row>
    <row r="34" spans="1:22" ht="15.75" customHeight="1">
      <c r="A34" s="127" t="s">
        <v>474</v>
      </c>
      <c r="B34" s="128" t="s">
        <v>646</v>
      </c>
      <c r="C34" s="129" t="s">
        <v>647</v>
      </c>
      <c r="D34" s="77" t="s">
        <v>969</v>
      </c>
      <c r="E34" s="54"/>
      <c r="F34" s="63"/>
      <c r="G34" s="54"/>
      <c r="H34" s="55"/>
      <c r="I34" s="55"/>
      <c r="J34" s="55"/>
      <c r="K34" s="55"/>
      <c r="L34" s="59"/>
      <c r="M34" s="54"/>
      <c r="N34" s="63"/>
      <c r="O34" s="92"/>
      <c r="P34" s="59"/>
      <c r="Q34" s="92"/>
      <c r="R34" s="59"/>
      <c r="S34" s="54"/>
      <c r="T34" s="63"/>
      <c r="U34" s="97">
        <f t="shared" si="2"/>
        <v>0</v>
      </c>
      <c r="V34" s="56">
        <f t="shared" si="3"/>
        <v>0</v>
      </c>
    </row>
    <row r="35" spans="1:22" ht="15.75" customHeight="1">
      <c r="A35" s="127" t="s">
        <v>474</v>
      </c>
      <c r="B35" s="128" t="s">
        <v>646</v>
      </c>
      <c r="C35" s="129" t="s">
        <v>648</v>
      </c>
      <c r="D35" s="77" t="s">
        <v>970</v>
      </c>
      <c r="E35" s="54"/>
      <c r="F35" s="63"/>
      <c r="G35" s="54"/>
      <c r="H35" s="55"/>
      <c r="I35" s="55"/>
      <c r="J35" s="55"/>
      <c r="K35" s="55"/>
      <c r="L35" s="59"/>
      <c r="M35" s="54"/>
      <c r="N35" s="63"/>
      <c r="O35" s="92"/>
      <c r="P35" s="59"/>
      <c r="Q35" s="92"/>
      <c r="R35" s="59"/>
      <c r="S35" s="54"/>
      <c r="T35" s="63"/>
      <c r="U35" s="97">
        <f t="shared" si="2"/>
        <v>0</v>
      </c>
      <c r="V35" s="56">
        <f t="shared" si="3"/>
        <v>0</v>
      </c>
    </row>
    <row r="36" spans="1:22" ht="15.75" customHeight="1">
      <c r="A36" s="127" t="s">
        <v>474</v>
      </c>
      <c r="B36" s="128" t="s">
        <v>652</v>
      </c>
      <c r="C36" s="129" t="s">
        <v>649</v>
      </c>
      <c r="D36" s="77" t="s">
        <v>971</v>
      </c>
      <c r="E36" s="54"/>
      <c r="F36" s="63"/>
      <c r="G36" s="54"/>
      <c r="H36" s="55"/>
      <c r="I36" s="55"/>
      <c r="J36" s="55"/>
      <c r="K36" s="55"/>
      <c r="L36" s="59"/>
      <c r="M36" s="54"/>
      <c r="N36" s="63"/>
      <c r="O36" s="92"/>
      <c r="P36" s="59"/>
      <c r="Q36" s="92"/>
      <c r="R36" s="59"/>
      <c r="S36" s="54"/>
      <c r="T36" s="63"/>
      <c r="U36" s="97">
        <f t="shared" si="2"/>
        <v>0</v>
      </c>
      <c r="V36" s="56">
        <f t="shared" si="3"/>
        <v>0</v>
      </c>
    </row>
    <row r="37" spans="1:22" ht="15.75" customHeight="1">
      <c r="A37" s="127" t="s">
        <v>474</v>
      </c>
      <c r="B37" s="128" t="s">
        <v>652</v>
      </c>
      <c r="C37" s="129" t="s">
        <v>650</v>
      </c>
      <c r="D37" s="77" t="s">
        <v>972</v>
      </c>
      <c r="E37" s="54"/>
      <c r="F37" s="63"/>
      <c r="G37" s="54"/>
      <c r="H37" s="55"/>
      <c r="I37" s="55"/>
      <c r="J37" s="55"/>
      <c r="K37" s="55"/>
      <c r="L37" s="59"/>
      <c r="M37" s="54"/>
      <c r="N37" s="63"/>
      <c r="O37" s="92"/>
      <c r="P37" s="59"/>
      <c r="Q37" s="92"/>
      <c r="R37" s="59"/>
      <c r="S37" s="54"/>
      <c r="T37" s="63"/>
      <c r="U37" s="97">
        <f t="shared" si="2"/>
        <v>0</v>
      </c>
      <c r="V37" s="56">
        <f t="shared" si="3"/>
        <v>0</v>
      </c>
    </row>
    <row r="38" spans="1:22" ht="15.75" customHeight="1">
      <c r="A38" s="127" t="s">
        <v>474</v>
      </c>
      <c r="B38" s="128" t="s">
        <v>652</v>
      </c>
      <c r="C38" s="129" t="s">
        <v>657</v>
      </c>
      <c r="D38" s="77" t="s">
        <v>973</v>
      </c>
      <c r="E38" s="54"/>
      <c r="F38" s="63"/>
      <c r="G38" s="54"/>
      <c r="H38" s="55"/>
      <c r="I38" s="55"/>
      <c r="J38" s="55"/>
      <c r="K38" s="55"/>
      <c r="L38" s="59"/>
      <c r="M38" s="54"/>
      <c r="N38" s="63"/>
      <c r="O38" s="92"/>
      <c r="P38" s="59"/>
      <c r="Q38" s="92"/>
      <c r="R38" s="59"/>
      <c r="S38" s="54"/>
      <c r="T38" s="63"/>
      <c r="U38" s="97">
        <f t="shared" si="2"/>
        <v>0</v>
      </c>
      <c r="V38" s="56">
        <f t="shared" si="3"/>
        <v>0</v>
      </c>
    </row>
    <row r="39" spans="1:22" ht="15.75" customHeight="1">
      <c r="A39" s="127" t="s">
        <v>474</v>
      </c>
      <c r="B39" s="128" t="s">
        <v>652</v>
      </c>
      <c r="C39" s="129" t="s">
        <v>651</v>
      </c>
      <c r="D39" s="77" t="s">
        <v>974</v>
      </c>
      <c r="E39" s="54"/>
      <c r="F39" s="63"/>
      <c r="G39" s="54"/>
      <c r="H39" s="55"/>
      <c r="I39" s="55"/>
      <c r="J39" s="55"/>
      <c r="K39" s="55"/>
      <c r="L39" s="59"/>
      <c r="M39" s="54"/>
      <c r="N39" s="63"/>
      <c r="O39" s="92"/>
      <c r="P39" s="59"/>
      <c r="Q39" s="92"/>
      <c r="R39" s="59"/>
      <c r="S39" s="54"/>
      <c r="T39" s="63"/>
      <c r="U39" s="97">
        <f t="shared" si="2"/>
        <v>0</v>
      </c>
      <c r="V39" s="56">
        <f t="shared" si="3"/>
        <v>0</v>
      </c>
    </row>
    <row r="40" spans="1:22" ht="15.75" customHeight="1">
      <c r="A40" s="127" t="s">
        <v>474</v>
      </c>
      <c r="B40" s="128" t="s">
        <v>652</v>
      </c>
      <c r="C40" s="129" t="s">
        <v>1291</v>
      </c>
      <c r="D40" s="77" t="s">
        <v>1292</v>
      </c>
      <c r="E40" s="54"/>
      <c r="F40" s="63"/>
      <c r="G40" s="54"/>
      <c r="H40" s="55"/>
      <c r="I40" s="55"/>
      <c r="J40" s="55"/>
      <c r="K40" s="55"/>
      <c r="L40" s="59"/>
      <c r="M40" s="54"/>
      <c r="N40" s="63"/>
      <c r="O40" s="92"/>
      <c r="P40" s="59"/>
      <c r="Q40" s="92"/>
      <c r="R40" s="59"/>
      <c r="S40" s="54"/>
      <c r="T40" s="63"/>
      <c r="U40" s="97"/>
      <c r="V40" s="56"/>
    </row>
    <row r="41" spans="1:22" ht="15.75" customHeight="1">
      <c r="A41" s="127" t="s">
        <v>474</v>
      </c>
      <c r="B41" s="128" t="s">
        <v>652</v>
      </c>
      <c r="C41" s="129" t="s">
        <v>1293</v>
      </c>
      <c r="D41" s="77" t="s">
        <v>1294</v>
      </c>
      <c r="E41" s="54"/>
      <c r="F41" s="63"/>
      <c r="G41" s="54"/>
      <c r="H41" s="55"/>
      <c r="I41" s="55"/>
      <c r="J41" s="55"/>
      <c r="K41" s="55"/>
      <c r="L41" s="59"/>
      <c r="M41" s="54"/>
      <c r="N41" s="63"/>
      <c r="O41" s="92"/>
      <c r="P41" s="59"/>
      <c r="Q41" s="92"/>
      <c r="R41" s="59"/>
      <c r="S41" s="54"/>
      <c r="T41" s="63"/>
      <c r="U41" s="97"/>
      <c r="V41" s="56"/>
    </row>
    <row r="42" spans="1:22" ht="15.75" customHeight="1">
      <c r="A42" s="127" t="s">
        <v>474</v>
      </c>
      <c r="B42" s="128" t="s">
        <v>485</v>
      </c>
      <c r="C42" s="129" t="s">
        <v>523</v>
      </c>
      <c r="D42" s="77" t="s">
        <v>975</v>
      </c>
      <c r="E42" s="54"/>
      <c r="F42" s="63"/>
      <c r="G42" s="54"/>
      <c r="H42" s="55"/>
      <c r="I42" s="55"/>
      <c r="J42" s="55"/>
      <c r="K42" s="55"/>
      <c r="L42" s="59"/>
      <c r="M42" s="54"/>
      <c r="N42" s="63"/>
      <c r="O42" s="92"/>
      <c r="P42" s="59"/>
      <c r="Q42" s="92"/>
      <c r="R42" s="59"/>
      <c r="S42" s="54"/>
      <c r="T42" s="63"/>
      <c r="U42" s="97">
        <f t="shared" ref="U42:U67" si="4">M42+Q42+S42</f>
        <v>0</v>
      </c>
      <c r="V42" s="56">
        <f t="shared" ref="V42:V67" si="5">N42+R42+T42</f>
        <v>0</v>
      </c>
    </row>
    <row r="43" spans="1:22" ht="15.75" customHeight="1">
      <c r="A43" s="127" t="s">
        <v>474</v>
      </c>
      <c r="B43" s="128" t="s">
        <v>485</v>
      </c>
      <c r="C43" s="129" t="s">
        <v>524</v>
      </c>
      <c r="D43" s="77" t="s">
        <v>976</v>
      </c>
      <c r="E43" s="54"/>
      <c r="F43" s="63"/>
      <c r="G43" s="54"/>
      <c r="H43" s="55"/>
      <c r="I43" s="55"/>
      <c r="J43" s="55"/>
      <c r="K43" s="55"/>
      <c r="L43" s="59"/>
      <c r="M43" s="54"/>
      <c r="N43" s="63"/>
      <c r="O43" s="92"/>
      <c r="P43" s="59"/>
      <c r="Q43" s="92"/>
      <c r="R43" s="59"/>
      <c r="S43" s="54"/>
      <c r="T43" s="63"/>
      <c r="U43" s="97">
        <f t="shared" si="4"/>
        <v>0</v>
      </c>
      <c r="V43" s="56">
        <f t="shared" si="5"/>
        <v>0</v>
      </c>
    </row>
    <row r="44" spans="1:22" ht="15.75" customHeight="1" thickBot="1">
      <c r="A44" s="127" t="s">
        <v>474</v>
      </c>
      <c r="B44" s="128" t="s">
        <v>485</v>
      </c>
      <c r="C44" s="129" t="s">
        <v>525</v>
      </c>
      <c r="D44" s="77" t="s">
        <v>977</v>
      </c>
      <c r="E44" s="54"/>
      <c r="F44" s="63"/>
      <c r="G44" s="54"/>
      <c r="H44" s="55"/>
      <c r="I44" s="55"/>
      <c r="J44" s="55"/>
      <c r="K44" s="55"/>
      <c r="L44" s="59"/>
      <c r="M44" s="54"/>
      <c r="N44" s="63"/>
      <c r="O44" s="197"/>
      <c r="P44" s="198"/>
      <c r="Q44" s="92"/>
      <c r="R44" s="59"/>
      <c r="S44" s="54"/>
      <c r="T44" s="63"/>
      <c r="U44" s="97">
        <f t="shared" si="4"/>
        <v>0</v>
      </c>
      <c r="V44" s="56">
        <f t="shared" si="5"/>
        <v>0</v>
      </c>
    </row>
    <row r="45" spans="1:22" ht="15.75" customHeight="1">
      <c r="A45" s="127" t="s">
        <v>475</v>
      </c>
      <c r="B45" s="128" t="s">
        <v>486</v>
      </c>
      <c r="C45" s="129" t="s">
        <v>526</v>
      </c>
      <c r="D45" s="77" t="s">
        <v>978</v>
      </c>
      <c r="E45" s="54"/>
      <c r="F45" s="63"/>
      <c r="G45" s="54"/>
      <c r="H45" s="55"/>
      <c r="I45" s="55"/>
      <c r="J45" s="55"/>
      <c r="K45" s="55"/>
      <c r="L45" s="59"/>
      <c r="M45" s="54"/>
      <c r="N45" s="59"/>
      <c r="O45" s="86"/>
      <c r="P45" s="87"/>
      <c r="Q45" s="92"/>
      <c r="R45" s="59"/>
      <c r="S45" s="54"/>
      <c r="T45" s="63"/>
      <c r="U45" s="97">
        <f t="shared" si="4"/>
        <v>0</v>
      </c>
      <c r="V45" s="56">
        <f t="shared" si="5"/>
        <v>0</v>
      </c>
    </row>
    <row r="46" spans="1:22" ht="15.75" customHeight="1">
      <c r="A46" s="127" t="s">
        <v>475</v>
      </c>
      <c r="B46" s="128" t="s">
        <v>486</v>
      </c>
      <c r="C46" s="129" t="s">
        <v>527</v>
      </c>
      <c r="D46" s="77" t="s">
        <v>979</v>
      </c>
      <c r="E46" s="54"/>
      <c r="F46" s="63"/>
      <c r="G46" s="54"/>
      <c r="H46" s="55"/>
      <c r="I46" s="55"/>
      <c r="J46" s="55"/>
      <c r="K46" s="55"/>
      <c r="L46" s="59"/>
      <c r="M46" s="54"/>
      <c r="N46" s="59"/>
      <c r="O46" s="153"/>
      <c r="P46" s="154"/>
      <c r="Q46" s="92"/>
      <c r="R46" s="59"/>
      <c r="S46" s="54"/>
      <c r="T46" s="63"/>
      <c r="U46" s="97">
        <f t="shared" si="4"/>
        <v>0</v>
      </c>
      <c r="V46" s="56">
        <f t="shared" si="5"/>
        <v>0</v>
      </c>
    </row>
    <row r="47" spans="1:22" ht="15.75" customHeight="1">
      <c r="A47" s="127" t="s">
        <v>475</v>
      </c>
      <c r="B47" s="128" t="s">
        <v>486</v>
      </c>
      <c r="C47" s="129" t="s">
        <v>528</v>
      </c>
      <c r="D47" s="77" t="s">
        <v>980</v>
      </c>
      <c r="E47" s="54"/>
      <c r="F47" s="63"/>
      <c r="G47" s="54"/>
      <c r="H47" s="55"/>
      <c r="I47" s="55"/>
      <c r="J47" s="55"/>
      <c r="K47" s="55"/>
      <c r="L47" s="59"/>
      <c r="M47" s="54"/>
      <c r="N47" s="59"/>
      <c r="O47" s="153"/>
      <c r="P47" s="154"/>
      <c r="Q47" s="92"/>
      <c r="R47" s="59"/>
      <c r="S47" s="54"/>
      <c r="T47" s="63"/>
      <c r="U47" s="97">
        <f t="shared" si="4"/>
        <v>0</v>
      </c>
      <c r="V47" s="56">
        <f t="shared" si="5"/>
        <v>0</v>
      </c>
    </row>
    <row r="48" spans="1:22" ht="15.75" customHeight="1">
      <c r="A48" s="127" t="s">
        <v>475</v>
      </c>
      <c r="B48" s="128" t="s">
        <v>486</v>
      </c>
      <c r="C48" s="129" t="s">
        <v>529</v>
      </c>
      <c r="D48" s="77" t="s">
        <v>981</v>
      </c>
      <c r="E48" s="54"/>
      <c r="F48" s="63"/>
      <c r="G48" s="54"/>
      <c r="H48" s="55"/>
      <c r="I48" s="55"/>
      <c r="J48" s="55"/>
      <c r="K48" s="55"/>
      <c r="L48" s="59"/>
      <c r="M48" s="54"/>
      <c r="N48" s="59"/>
      <c r="O48" s="153"/>
      <c r="P48" s="154"/>
      <c r="Q48" s="92"/>
      <c r="R48" s="59"/>
      <c r="S48" s="54"/>
      <c r="T48" s="63"/>
      <c r="U48" s="97">
        <f t="shared" si="4"/>
        <v>0</v>
      </c>
      <c r="V48" s="56">
        <f t="shared" si="5"/>
        <v>0</v>
      </c>
    </row>
    <row r="49" spans="1:22" ht="15.75" customHeight="1">
      <c r="A49" s="127" t="s">
        <v>475</v>
      </c>
      <c r="B49" s="128" t="s">
        <v>486</v>
      </c>
      <c r="C49" s="129" t="s">
        <v>530</v>
      </c>
      <c r="D49" s="77" t="s">
        <v>982</v>
      </c>
      <c r="E49" s="54"/>
      <c r="F49" s="63"/>
      <c r="G49" s="54"/>
      <c r="H49" s="55"/>
      <c r="I49" s="55"/>
      <c r="J49" s="55"/>
      <c r="K49" s="55"/>
      <c r="L49" s="59"/>
      <c r="M49" s="54"/>
      <c r="N49" s="59"/>
      <c r="O49" s="54"/>
      <c r="P49" s="63"/>
      <c r="Q49" s="92"/>
      <c r="R49" s="59"/>
      <c r="S49" s="54"/>
      <c r="T49" s="63"/>
      <c r="U49" s="97">
        <f t="shared" si="4"/>
        <v>0</v>
      </c>
      <c r="V49" s="56">
        <f t="shared" si="5"/>
        <v>0</v>
      </c>
    </row>
    <row r="50" spans="1:22" ht="15.75" customHeight="1">
      <c r="A50" s="127" t="s">
        <v>475</v>
      </c>
      <c r="B50" s="128" t="s">
        <v>486</v>
      </c>
      <c r="C50" s="129" t="s">
        <v>531</v>
      </c>
      <c r="D50" s="77" t="s">
        <v>983</v>
      </c>
      <c r="E50" s="54"/>
      <c r="F50" s="63"/>
      <c r="G50" s="54"/>
      <c r="H50" s="55"/>
      <c r="I50" s="55"/>
      <c r="J50" s="55"/>
      <c r="K50" s="55"/>
      <c r="L50" s="59"/>
      <c r="M50" s="54"/>
      <c r="N50" s="59"/>
      <c r="O50" s="54"/>
      <c r="P50" s="63"/>
      <c r="Q50" s="92"/>
      <c r="R50" s="59"/>
      <c r="S50" s="54"/>
      <c r="T50" s="63"/>
      <c r="U50" s="97">
        <f t="shared" si="4"/>
        <v>0</v>
      </c>
      <c r="V50" s="56">
        <f t="shared" si="5"/>
        <v>0</v>
      </c>
    </row>
    <row r="51" spans="1:22" ht="15.75" customHeight="1">
      <c r="A51" s="127" t="s">
        <v>475</v>
      </c>
      <c r="B51" s="128" t="s">
        <v>486</v>
      </c>
      <c r="C51" s="129" t="s">
        <v>532</v>
      </c>
      <c r="D51" s="77" t="s">
        <v>984</v>
      </c>
      <c r="E51" s="54"/>
      <c r="F51" s="63"/>
      <c r="G51" s="54"/>
      <c r="H51" s="55"/>
      <c r="I51" s="55"/>
      <c r="J51" s="55"/>
      <c r="K51" s="55"/>
      <c r="L51" s="59"/>
      <c r="M51" s="54"/>
      <c r="N51" s="59"/>
      <c r="O51" s="54"/>
      <c r="P51" s="63"/>
      <c r="Q51" s="92"/>
      <c r="R51" s="59"/>
      <c r="S51" s="54"/>
      <c r="T51" s="63"/>
      <c r="U51" s="97">
        <f t="shared" si="4"/>
        <v>0</v>
      </c>
      <c r="V51" s="56">
        <f t="shared" si="5"/>
        <v>0</v>
      </c>
    </row>
    <row r="52" spans="1:22" ht="15.75" customHeight="1">
      <c r="A52" s="127" t="s">
        <v>475</v>
      </c>
      <c r="B52" s="128" t="s">
        <v>486</v>
      </c>
      <c r="C52" s="129" t="s">
        <v>533</v>
      </c>
      <c r="D52" s="77" t="s">
        <v>985</v>
      </c>
      <c r="E52" s="54"/>
      <c r="F52" s="63"/>
      <c r="G52" s="54"/>
      <c r="H52" s="55"/>
      <c r="I52" s="55"/>
      <c r="J52" s="55"/>
      <c r="K52" s="55"/>
      <c r="L52" s="59"/>
      <c r="M52" s="54"/>
      <c r="N52" s="59"/>
      <c r="O52" s="54"/>
      <c r="P52" s="63"/>
      <c r="Q52" s="92"/>
      <c r="R52" s="59"/>
      <c r="S52" s="54"/>
      <c r="T52" s="63"/>
      <c r="U52" s="97">
        <f t="shared" si="4"/>
        <v>0</v>
      </c>
      <c r="V52" s="56">
        <f t="shared" si="5"/>
        <v>0</v>
      </c>
    </row>
    <row r="53" spans="1:22" ht="15.75" customHeight="1">
      <c r="A53" s="127" t="s">
        <v>475</v>
      </c>
      <c r="B53" s="128" t="s">
        <v>486</v>
      </c>
      <c r="C53" s="129" t="s">
        <v>534</v>
      </c>
      <c r="D53" s="77" t="s">
        <v>986</v>
      </c>
      <c r="E53" s="54"/>
      <c r="F53" s="63"/>
      <c r="G53" s="54"/>
      <c r="H53" s="55"/>
      <c r="I53" s="55"/>
      <c r="J53" s="55"/>
      <c r="K53" s="55"/>
      <c r="L53" s="59"/>
      <c r="M53" s="54"/>
      <c r="N53" s="59"/>
      <c r="O53" s="54"/>
      <c r="P53" s="63"/>
      <c r="Q53" s="92"/>
      <c r="R53" s="59"/>
      <c r="S53" s="54"/>
      <c r="T53" s="63"/>
      <c r="U53" s="97">
        <f t="shared" si="4"/>
        <v>0</v>
      </c>
      <c r="V53" s="56">
        <f t="shared" si="5"/>
        <v>0</v>
      </c>
    </row>
    <row r="54" spans="1:22" ht="15.75" customHeight="1">
      <c r="A54" s="127" t="s">
        <v>475</v>
      </c>
      <c r="B54" s="128" t="s">
        <v>486</v>
      </c>
      <c r="C54" s="129" t="s">
        <v>535</v>
      </c>
      <c r="D54" s="77" t="s">
        <v>987</v>
      </c>
      <c r="E54" s="54"/>
      <c r="F54" s="63"/>
      <c r="G54" s="54"/>
      <c r="H54" s="55"/>
      <c r="I54" s="55"/>
      <c r="J54" s="55"/>
      <c r="K54" s="55"/>
      <c r="L54" s="59"/>
      <c r="M54" s="54"/>
      <c r="N54" s="59"/>
      <c r="O54" s="54"/>
      <c r="P54" s="63"/>
      <c r="Q54" s="92"/>
      <c r="R54" s="59"/>
      <c r="S54" s="54"/>
      <c r="T54" s="63"/>
      <c r="U54" s="97">
        <f t="shared" si="4"/>
        <v>0</v>
      </c>
      <c r="V54" s="56">
        <f t="shared" si="5"/>
        <v>0</v>
      </c>
    </row>
    <row r="55" spans="1:22" ht="15.75" customHeight="1">
      <c r="A55" s="127" t="s">
        <v>475</v>
      </c>
      <c r="B55" s="128" t="s">
        <v>486</v>
      </c>
      <c r="C55" s="129" t="s">
        <v>536</v>
      </c>
      <c r="D55" s="77" t="s">
        <v>988</v>
      </c>
      <c r="E55" s="54"/>
      <c r="F55" s="63"/>
      <c r="G55" s="54"/>
      <c r="H55" s="55"/>
      <c r="I55" s="55"/>
      <c r="J55" s="55"/>
      <c r="K55" s="55"/>
      <c r="L55" s="59"/>
      <c r="M55" s="54"/>
      <c r="N55" s="59"/>
      <c r="O55" s="54"/>
      <c r="P55" s="63"/>
      <c r="Q55" s="92"/>
      <c r="R55" s="59"/>
      <c r="S55" s="54"/>
      <c r="T55" s="63"/>
      <c r="U55" s="97">
        <f t="shared" si="4"/>
        <v>0</v>
      </c>
      <c r="V55" s="56">
        <f t="shared" si="5"/>
        <v>0</v>
      </c>
    </row>
    <row r="56" spans="1:22" ht="15.75" customHeight="1">
      <c r="A56" s="127" t="s">
        <v>475</v>
      </c>
      <c r="B56" s="128" t="s">
        <v>486</v>
      </c>
      <c r="C56" s="129" t="s">
        <v>537</v>
      </c>
      <c r="D56" s="77" t="s">
        <v>989</v>
      </c>
      <c r="E56" s="54"/>
      <c r="F56" s="63"/>
      <c r="G56" s="54"/>
      <c r="H56" s="55"/>
      <c r="I56" s="55"/>
      <c r="J56" s="55"/>
      <c r="K56" s="55"/>
      <c r="L56" s="59"/>
      <c r="M56" s="54"/>
      <c r="N56" s="59"/>
      <c r="O56" s="54"/>
      <c r="P56" s="63"/>
      <c r="Q56" s="92"/>
      <c r="R56" s="59"/>
      <c r="S56" s="54"/>
      <c r="T56" s="63"/>
      <c r="U56" s="97">
        <f t="shared" si="4"/>
        <v>0</v>
      </c>
      <c r="V56" s="56">
        <f t="shared" si="5"/>
        <v>0</v>
      </c>
    </row>
    <row r="57" spans="1:22" ht="15.75" customHeight="1">
      <c r="A57" s="127" t="s">
        <v>475</v>
      </c>
      <c r="B57" s="128" t="s">
        <v>487</v>
      </c>
      <c r="C57" s="129" t="s">
        <v>538</v>
      </c>
      <c r="D57" s="77" t="s">
        <v>990</v>
      </c>
      <c r="E57" s="54"/>
      <c r="F57" s="63"/>
      <c r="G57" s="54"/>
      <c r="H57" s="55"/>
      <c r="I57" s="55"/>
      <c r="J57" s="55"/>
      <c r="K57" s="55"/>
      <c r="L57" s="59"/>
      <c r="M57" s="54"/>
      <c r="N57" s="59"/>
      <c r="O57" s="54"/>
      <c r="P57" s="63"/>
      <c r="Q57" s="92"/>
      <c r="R57" s="59"/>
      <c r="S57" s="54"/>
      <c r="T57" s="63"/>
      <c r="U57" s="97">
        <f t="shared" si="4"/>
        <v>0</v>
      </c>
      <c r="V57" s="56">
        <f t="shared" si="5"/>
        <v>0</v>
      </c>
    </row>
    <row r="58" spans="1:22" ht="15.75" customHeight="1">
      <c r="A58" s="127" t="s">
        <v>475</v>
      </c>
      <c r="B58" s="128" t="s">
        <v>487</v>
      </c>
      <c r="C58" s="130" t="s">
        <v>539</v>
      </c>
      <c r="D58" s="77" t="s">
        <v>991</v>
      </c>
      <c r="E58" s="54"/>
      <c r="F58" s="63"/>
      <c r="G58" s="54"/>
      <c r="H58" s="55"/>
      <c r="I58" s="55"/>
      <c r="J58" s="55"/>
      <c r="K58" s="55"/>
      <c r="L58" s="59"/>
      <c r="M58" s="54"/>
      <c r="N58" s="59"/>
      <c r="O58" s="54"/>
      <c r="P58" s="63"/>
      <c r="Q58" s="92"/>
      <c r="R58" s="59"/>
      <c r="S58" s="54"/>
      <c r="T58" s="63"/>
      <c r="U58" s="97">
        <f t="shared" si="4"/>
        <v>0</v>
      </c>
      <c r="V58" s="56">
        <f t="shared" si="5"/>
        <v>0</v>
      </c>
    </row>
    <row r="59" spans="1:22" ht="15.75" customHeight="1">
      <c r="A59" s="127" t="s">
        <v>475</v>
      </c>
      <c r="B59" s="128" t="s">
        <v>487</v>
      </c>
      <c r="C59" s="130" t="s">
        <v>540</v>
      </c>
      <c r="D59" s="77" t="s">
        <v>992</v>
      </c>
      <c r="E59" s="54"/>
      <c r="F59" s="63"/>
      <c r="G59" s="54"/>
      <c r="H59" s="55"/>
      <c r="I59" s="55"/>
      <c r="J59" s="55"/>
      <c r="K59" s="55"/>
      <c r="L59" s="59"/>
      <c r="M59" s="54"/>
      <c r="N59" s="59"/>
      <c r="O59" s="54"/>
      <c r="P59" s="63"/>
      <c r="Q59" s="92"/>
      <c r="R59" s="59"/>
      <c r="S59" s="54"/>
      <c r="T59" s="63"/>
      <c r="U59" s="97">
        <f t="shared" si="4"/>
        <v>0</v>
      </c>
      <c r="V59" s="56">
        <f t="shared" si="5"/>
        <v>0</v>
      </c>
    </row>
    <row r="60" spans="1:22" ht="15.75" customHeight="1">
      <c r="A60" s="127" t="s">
        <v>475</v>
      </c>
      <c r="B60" s="128" t="s">
        <v>487</v>
      </c>
      <c r="C60" s="130" t="s">
        <v>541</v>
      </c>
      <c r="D60" s="77" t="s">
        <v>993</v>
      </c>
      <c r="E60" s="54"/>
      <c r="F60" s="63"/>
      <c r="G60" s="54"/>
      <c r="H60" s="55"/>
      <c r="I60" s="55"/>
      <c r="J60" s="55"/>
      <c r="K60" s="55"/>
      <c r="L60" s="59"/>
      <c r="M60" s="54"/>
      <c r="N60" s="59"/>
      <c r="O60" s="54"/>
      <c r="P60" s="63"/>
      <c r="Q60" s="92"/>
      <c r="R60" s="59"/>
      <c r="S60" s="54"/>
      <c r="T60" s="63"/>
      <c r="U60" s="97">
        <f t="shared" si="4"/>
        <v>0</v>
      </c>
      <c r="V60" s="56">
        <f t="shared" si="5"/>
        <v>0</v>
      </c>
    </row>
    <row r="61" spans="1:22" ht="15.75" customHeight="1">
      <c r="A61" s="127" t="s">
        <v>475</v>
      </c>
      <c r="B61" s="128" t="s">
        <v>488</v>
      </c>
      <c r="C61" s="130" t="s">
        <v>542</v>
      </c>
      <c r="D61" s="77" t="s">
        <v>994</v>
      </c>
      <c r="E61" s="54"/>
      <c r="F61" s="63"/>
      <c r="G61" s="54"/>
      <c r="H61" s="55"/>
      <c r="I61" s="55"/>
      <c r="J61" s="55"/>
      <c r="K61" s="55"/>
      <c r="L61" s="59"/>
      <c r="M61" s="54"/>
      <c r="N61" s="59"/>
      <c r="O61" s="54"/>
      <c r="P61" s="63"/>
      <c r="Q61" s="92"/>
      <c r="R61" s="59"/>
      <c r="S61" s="54"/>
      <c r="T61" s="63"/>
      <c r="U61" s="97">
        <f t="shared" si="4"/>
        <v>0</v>
      </c>
      <c r="V61" s="56">
        <f t="shared" si="5"/>
        <v>0</v>
      </c>
    </row>
    <row r="62" spans="1:22" ht="15.75" customHeight="1">
      <c r="A62" s="127" t="s">
        <v>475</v>
      </c>
      <c r="B62" s="128" t="s">
        <v>488</v>
      </c>
      <c r="C62" s="130" t="s">
        <v>543</v>
      </c>
      <c r="D62" s="77" t="s">
        <v>995</v>
      </c>
      <c r="E62" s="54"/>
      <c r="F62" s="63"/>
      <c r="G62" s="54"/>
      <c r="H62" s="55"/>
      <c r="I62" s="55"/>
      <c r="J62" s="55"/>
      <c r="K62" s="55"/>
      <c r="L62" s="59"/>
      <c r="M62" s="54"/>
      <c r="N62" s="59"/>
      <c r="O62" s="54"/>
      <c r="P62" s="63"/>
      <c r="Q62" s="92"/>
      <c r="R62" s="59"/>
      <c r="S62" s="54"/>
      <c r="T62" s="63"/>
      <c r="U62" s="97">
        <f t="shared" si="4"/>
        <v>0</v>
      </c>
      <c r="V62" s="56">
        <f t="shared" si="5"/>
        <v>0</v>
      </c>
    </row>
    <row r="63" spans="1:22" ht="15.75" customHeight="1">
      <c r="A63" s="127" t="s">
        <v>475</v>
      </c>
      <c r="B63" s="128" t="s">
        <v>488</v>
      </c>
      <c r="C63" s="130" t="s">
        <v>544</v>
      </c>
      <c r="D63" s="77" t="s">
        <v>996</v>
      </c>
      <c r="E63" s="54"/>
      <c r="F63" s="63"/>
      <c r="G63" s="54"/>
      <c r="H63" s="55"/>
      <c r="I63" s="55"/>
      <c r="J63" s="55"/>
      <c r="K63" s="55"/>
      <c r="L63" s="59"/>
      <c r="M63" s="54"/>
      <c r="N63" s="59"/>
      <c r="O63" s="54"/>
      <c r="P63" s="63"/>
      <c r="Q63" s="92"/>
      <c r="R63" s="59"/>
      <c r="S63" s="54"/>
      <c r="T63" s="63"/>
      <c r="U63" s="97">
        <f t="shared" si="4"/>
        <v>0</v>
      </c>
      <c r="V63" s="56">
        <f t="shared" si="5"/>
        <v>0</v>
      </c>
    </row>
    <row r="64" spans="1:22" ht="15.75" customHeight="1">
      <c r="A64" s="127" t="s">
        <v>475</v>
      </c>
      <c r="B64" s="128" t="s">
        <v>488</v>
      </c>
      <c r="C64" s="130" t="s">
        <v>545</v>
      </c>
      <c r="D64" s="77" t="s">
        <v>997</v>
      </c>
      <c r="E64" s="54"/>
      <c r="F64" s="63"/>
      <c r="G64" s="54"/>
      <c r="H64" s="55"/>
      <c r="I64" s="55"/>
      <c r="J64" s="55"/>
      <c r="K64" s="55"/>
      <c r="L64" s="59"/>
      <c r="M64" s="54"/>
      <c r="N64" s="59"/>
      <c r="O64" s="54"/>
      <c r="P64" s="63"/>
      <c r="Q64" s="92"/>
      <c r="R64" s="59"/>
      <c r="S64" s="54"/>
      <c r="T64" s="63"/>
      <c r="U64" s="97">
        <f t="shared" si="4"/>
        <v>0</v>
      </c>
      <c r="V64" s="56">
        <f t="shared" si="5"/>
        <v>0</v>
      </c>
    </row>
    <row r="65" spans="1:22" ht="15.75" customHeight="1">
      <c r="A65" s="127" t="s">
        <v>475</v>
      </c>
      <c r="B65" s="128" t="s">
        <v>488</v>
      </c>
      <c r="C65" s="130" t="s">
        <v>546</v>
      </c>
      <c r="D65" s="77" t="s">
        <v>998</v>
      </c>
      <c r="E65" s="54"/>
      <c r="F65" s="63"/>
      <c r="G65" s="54"/>
      <c r="H65" s="55"/>
      <c r="I65" s="55"/>
      <c r="J65" s="55"/>
      <c r="K65" s="55"/>
      <c r="L65" s="59"/>
      <c r="M65" s="54"/>
      <c r="N65" s="59"/>
      <c r="O65" s="54"/>
      <c r="P65" s="63"/>
      <c r="Q65" s="92"/>
      <c r="R65" s="59"/>
      <c r="S65" s="54"/>
      <c r="T65" s="63"/>
      <c r="U65" s="97">
        <f t="shared" si="4"/>
        <v>0</v>
      </c>
      <c r="V65" s="56">
        <f t="shared" si="5"/>
        <v>0</v>
      </c>
    </row>
    <row r="66" spans="1:22" ht="15.75" customHeight="1">
      <c r="A66" s="127" t="s">
        <v>475</v>
      </c>
      <c r="B66" s="128" t="s">
        <v>488</v>
      </c>
      <c r="C66" s="130" t="s">
        <v>547</v>
      </c>
      <c r="D66" s="77" t="s">
        <v>999</v>
      </c>
      <c r="E66" s="54"/>
      <c r="F66" s="63"/>
      <c r="G66" s="54"/>
      <c r="H66" s="55"/>
      <c r="I66" s="55"/>
      <c r="J66" s="55"/>
      <c r="K66" s="55"/>
      <c r="L66" s="59"/>
      <c r="M66" s="54"/>
      <c r="N66" s="59"/>
      <c r="O66" s="54"/>
      <c r="P66" s="63"/>
      <c r="Q66" s="92"/>
      <c r="R66" s="59"/>
      <c r="S66" s="54"/>
      <c r="T66" s="63"/>
      <c r="U66" s="97">
        <f t="shared" si="4"/>
        <v>0</v>
      </c>
      <c r="V66" s="56">
        <f t="shared" si="5"/>
        <v>0</v>
      </c>
    </row>
    <row r="67" spans="1:22" ht="15.75" customHeight="1">
      <c r="A67" s="127" t="s">
        <v>475</v>
      </c>
      <c r="B67" s="128" t="s">
        <v>489</v>
      </c>
      <c r="C67" s="129" t="s">
        <v>548</v>
      </c>
      <c r="D67" s="77" t="s">
        <v>1000</v>
      </c>
      <c r="E67" s="54"/>
      <c r="F67" s="63"/>
      <c r="G67" s="54"/>
      <c r="H67" s="55"/>
      <c r="I67" s="55"/>
      <c r="J67" s="55"/>
      <c r="K67" s="55"/>
      <c r="L67" s="59"/>
      <c r="M67" s="54"/>
      <c r="N67" s="59"/>
      <c r="O67" s="54"/>
      <c r="P67" s="63"/>
      <c r="Q67" s="92"/>
      <c r="R67" s="59"/>
      <c r="S67" s="54"/>
      <c r="T67" s="63"/>
      <c r="U67" s="97">
        <f t="shared" si="4"/>
        <v>0</v>
      </c>
      <c r="V67" s="56">
        <f t="shared" si="5"/>
        <v>0</v>
      </c>
    </row>
    <row r="68" spans="1:22" ht="15.75" customHeight="1">
      <c r="A68" s="127" t="s">
        <v>475</v>
      </c>
      <c r="B68" s="128" t="s">
        <v>489</v>
      </c>
      <c r="C68" s="129" t="s">
        <v>1295</v>
      </c>
      <c r="D68" s="77" t="s">
        <v>1296</v>
      </c>
      <c r="E68" s="54"/>
      <c r="F68" s="63"/>
      <c r="G68" s="54"/>
      <c r="H68" s="55"/>
      <c r="I68" s="55"/>
      <c r="J68" s="55"/>
      <c r="K68" s="55"/>
      <c r="L68" s="59"/>
      <c r="M68" s="54"/>
      <c r="N68" s="59"/>
      <c r="O68" s="54"/>
      <c r="P68" s="63"/>
      <c r="Q68" s="92"/>
      <c r="R68" s="59"/>
      <c r="S68" s="54"/>
      <c r="T68" s="63"/>
      <c r="U68" s="97"/>
      <c r="V68" s="56"/>
    </row>
    <row r="69" spans="1:22" ht="15.75" customHeight="1">
      <c r="A69" s="127" t="s">
        <v>475</v>
      </c>
      <c r="B69" s="128" t="s">
        <v>489</v>
      </c>
      <c r="C69" s="129" t="s">
        <v>1297</v>
      </c>
      <c r="D69" s="77" t="s">
        <v>1298</v>
      </c>
      <c r="E69" s="54"/>
      <c r="F69" s="63"/>
      <c r="G69" s="54"/>
      <c r="H69" s="55"/>
      <c r="I69" s="55"/>
      <c r="J69" s="55"/>
      <c r="K69" s="55"/>
      <c r="L69" s="59"/>
      <c r="M69" s="54"/>
      <c r="N69" s="59"/>
      <c r="O69" s="54"/>
      <c r="P69" s="63"/>
      <c r="Q69" s="92"/>
      <c r="R69" s="59"/>
      <c r="S69" s="54"/>
      <c r="T69" s="63"/>
      <c r="U69" s="97"/>
      <c r="V69" s="56"/>
    </row>
    <row r="70" spans="1:22" ht="15.75" customHeight="1">
      <c r="A70" s="127" t="s">
        <v>475</v>
      </c>
      <c r="B70" s="128" t="s">
        <v>490</v>
      </c>
      <c r="C70" s="129" t="s">
        <v>549</v>
      </c>
      <c r="D70" s="77" t="s">
        <v>1001</v>
      </c>
      <c r="E70" s="54"/>
      <c r="F70" s="63"/>
      <c r="G70" s="54"/>
      <c r="H70" s="55"/>
      <c r="I70" s="55"/>
      <c r="J70" s="55"/>
      <c r="K70" s="55"/>
      <c r="L70" s="59"/>
      <c r="M70" s="54"/>
      <c r="N70" s="59"/>
      <c r="O70" s="54"/>
      <c r="P70" s="63"/>
      <c r="Q70" s="92"/>
      <c r="R70" s="59"/>
      <c r="S70" s="54"/>
      <c r="T70" s="63"/>
      <c r="U70" s="97">
        <f t="shared" ref="U70:V72" si="6">M70+Q70+S70</f>
        <v>0</v>
      </c>
      <c r="V70" s="56">
        <f t="shared" si="6"/>
        <v>0</v>
      </c>
    </row>
    <row r="71" spans="1:22" ht="15.75" customHeight="1">
      <c r="A71" s="127" t="s">
        <v>475</v>
      </c>
      <c r="B71" s="128" t="s">
        <v>490</v>
      </c>
      <c r="C71" s="129" t="s">
        <v>550</v>
      </c>
      <c r="D71" s="77" t="s">
        <v>1002</v>
      </c>
      <c r="E71" s="54"/>
      <c r="F71" s="63"/>
      <c r="G71" s="54"/>
      <c r="H71" s="55"/>
      <c r="I71" s="55"/>
      <c r="J71" s="55"/>
      <c r="K71" s="55"/>
      <c r="L71" s="59"/>
      <c r="M71" s="54"/>
      <c r="N71" s="59"/>
      <c r="O71" s="54"/>
      <c r="P71" s="63"/>
      <c r="Q71" s="92"/>
      <c r="R71" s="59"/>
      <c r="S71" s="54"/>
      <c r="T71" s="63"/>
      <c r="U71" s="97">
        <f t="shared" si="6"/>
        <v>0</v>
      </c>
      <c r="V71" s="56">
        <f t="shared" si="6"/>
        <v>0</v>
      </c>
    </row>
    <row r="72" spans="1:22" ht="15.75" customHeight="1">
      <c r="A72" s="127" t="s">
        <v>475</v>
      </c>
      <c r="B72" s="128" t="s">
        <v>490</v>
      </c>
      <c r="C72" s="129" t="s">
        <v>551</v>
      </c>
      <c r="D72" s="77" t="s">
        <v>1003</v>
      </c>
      <c r="E72" s="54"/>
      <c r="F72" s="63"/>
      <c r="G72" s="54"/>
      <c r="H72" s="55"/>
      <c r="I72" s="55"/>
      <c r="J72" s="55"/>
      <c r="K72" s="55"/>
      <c r="L72" s="59"/>
      <c r="M72" s="54"/>
      <c r="N72" s="59"/>
      <c r="O72" s="54"/>
      <c r="P72" s="63"/>
      <c r="Q72" s="92"/>
      <c r="R72" s="59"/>
      <c r="S72" s="54"/>
      <c r="T72" s="63"/>
      <c r="U72" s="97">
        <f t="shared" si="6"/>
        <v>0</v>
      </c>
      <c r="V72" s="56">
        <f t="shared" si="6"/>
        <v>0</v>
      </c>
    </row>
    <row r="73" spans="1:22" ht="15.75" customHeight="1">
      <c r="A73" s="127" t="s">
        <v>475</v>
      </c>
      <c r="B73" s="128" t="s">
        <v>490</v>
      </c>
      <c r="C73" s="128" t="s">
        <v>1299</v>
      </c>
      <c r="D73" s="77" t="s">
        <v>1004</v>
      </c>
      <c r="E73" s="54"/>
      <c r="F73" s="63"/>
      <c r="G73" s="54"/>
      <c r="H73" s="55"/>
      <c r="I73" s="55"/>
      <c r="J73" s="55"/>
      <c r="K73" s="55"/>
      <c r="L73" s="59"/>
      <c r="M73" s="54"/>
      <c r="N73" s="59"/>
      <c r="O73" s="54"/>
      <c r="P73" s="63"/>
      <c r="Q73" s="92"/>
      <c r="R73" s="59"/>
      <c r="S73" s="54"/>
      <c r="T73" s="63"/>
      <c r="U73" s="97"/>
      <c r="V73" s="56"/>
    </row>
    <row r="74" spans="1:22" ht="15.75" customHeight="1">
      <c r="A74" s="127" t="s">
        <v>475</v>
      </c>
      <c r="B74" s="128" t="s">
        <v>490</v>
      </c>
      <c r="C74" s="128" t="s">
        <v>1300</v>
      </c>
      <c r="D74" s="77" t="s">
        <v>1005</v>
      </c>
      <c r="E74" s="54"/>
      <c r="F74" s="63"/>
      <c r="G74" s="54"/>
      <c r="H74" s="55"/>
      <c r="I74" s="55"/>
      <c r="J74" s="55"/>
      <c r="K74" s="55"/>
      <c r="L74" s="59"/>
      <c r="M74" s="54"/>
      <c r="N74" s="59"/>
      <c r="O74" s="54"/>
      <c r="P74" s="63"/>
      <c r="Q74" s="92"/>
      <c r="R74" s="59"/>
      <c r="S74" s="54"/>
      <c r="T74" s="63"/>
      <c r="U74" s="97"/>
      <c r="V74" s="56"/>
    </row>
    <row r="75" spans="1:22" ht="15.75" customHeight="1">
      <c r="A75" s="127" t="s">
        <v>475</v>
      </c>
      <c r="B75" s="128" t="s">
        <v>490</v>
      </c>
      <c r="C75" s="129" t="s">
        <v>552</v>
      </c>
      <c r="D75" s="77" t="s">
        <v>1006</v>
      </c>
      <c r="E75" s="54"/>
      <c r="F75" s="63"/>
      <c r="G75" s="54"/>
      <c r="H75" s="55"/>
      <c r="I75" s="55"/>
      <c r="J75" s="55"/>
      <c r="K75" s="55"/>
      <c r="L75" s="59"/>
      <c r="M75" s="54"/>
      <c r="N75" s="59"/>
      <c r="O75" s="54"/>
      <c r="P75" s="63"/>
      <c r="Q75" s="92"/>
      <c r="R75" s="59"/>
      <c r="S75" s="54"/>
      <c r="T75" s="63"/>
      <c r="U75" s="97">
        <f>M75+Q75+S75</f>
        <v>0</v>
      </c>
      <c r="V75" s="56">
        <f>N75+R75+T75</f>
        <v>0</v>
      </c>
    </row>
    <row r="76" spans="1:22" ht="15.75" customHeight="1">
      <c r="A76" s="127" t="s">
        <v>475</v>
      </c>
      <c r="B76" s="128" t="s">
        <v>490</v>
      </c>
      <c r="C76" s="129" t="s">
        <v>553</v>
      </c>
      <c r="D76" s="77" t="s">
        <v>1007</v>
      </c>
      <c r="E76" s="54"/>
      <c r="F76" s="63"/>
      <c r="G76" s="54"/>
      <c r="H76" s="55"/>
      <c r="I76" s="55"/>
      <c r="J76" s="55"/>
      <c r="K76" s="55"/>
      <c r="L76" s="59"/>
      <c r="M76" s="54"/>
      <c r="N76" s="59"/>
      <c r="O76" s="54"/>
      <c r="P76" s="63"/>
      <c r="Q76" s="92"/>
      <c r="R76" s="59"/>
      <c r="S76" s="54"/>
      <c r="T76" s="63"/>
      <c r="U76" s="97">
        <f>M76+Q76+S76</f>
        <v>0</v>
      </c>
      <c r="V76" s="56">
        <f>N76+R76+T76</f>
        <v>0</v>
      </c>
    </row>
    <row r="77" spans="1:22" ht="15.75" customHeight="1">
      <c r="A77" s="127" t="s">
        <v>475</v>
      </c>
      <c r="B77" s="128" t="s">
        <v>490</v>
      </c>
      <c r="C77" s="131" t="s">
        <v>1301</v>
      </c>
      <c r="D77" s="77" t="s">
        <v>1008</v>
      </c>
      <c r="E77" s="54"/>
      <c r="F77" s="63"/>
      <c r="G77" s="54"/>
      <c r="H77" s="55"/>
      <c r="I77" s="55"/>
      <c r="J77" s="55"/>
      <c r="K77" s="55"/>
      <c r="L77" s="59"/>
      <c r="M77" s="54"/>
      <c r="N77" s="59"/>
      <c r="O77" s="54"/>
      <c r="P77" s="63"/>
      <c r="Q77" s="92"/>
      <c r="R77" s="59"/>
      <c r="S77" s="54"/>
      <c r="T77" s="63"/>
      <c r="U77" s="97"/>
      <c r="V77" s="56"/>
    </row>
    <row r="78" spans="1:22" ht="15.75" customHeight="1">
      <c r="A78" s="127" t="s">
        <v>475</v>
      </c>
      <c r="B78" s="128" t="s">
        <v>490</v>
      </c>
      <c r="C78" s="128" t="s">
        <v>1302</v>
      </c>
      <c r="D78" s="77" t="s">
        <v>1009</v>
      </c>
      <c r="E78" s="54"/>
      <c r="F78" s="63"/>
      <c r="G78" s="54"/>
      <c r="H78" s="55"/>
      <c r="I78" s="55"/>
      <c r="J78" s="55"/>
      <c r="K78" s="55"/>
      <c r="L78" s="59"/>
      <c r="M78" s="54"/>
      <c r="N78" s="59"/>
      <c r="O78" s="54"/>
      <c r="P78" s="63"/>
      <c r="Q78" s="92"/>
      <c r="R78" s="59"/>
      <c r="S78" s="54"/>
      <c r="T78" s="63"/>
      <c r="U78" s="97"/>
      <c r="V78" s="56"/>
    </row>
    <row r="79" spans="1:22" ht="15.75" customHeight="1">
      <c r="A79" s="127" t="s">
        <v>475</v>
      </c>
      <c r="B79" s="128" t="s">
        <v>490</v>
      </c>
      <c r="C79" s="129" t="s">
        <v>554</v>
      </c>
      <c r="D79" s="77" t="s">
        <v>1012</v>
      </c>
      <c r="E79" s="54"/>
      <c r="F79" s="63"/>
      <c r="G79" s="54"/>
      <c r="H79" s="55"/>
      <c r="I79" s="55"/>
      <c r="J79" s="55"/>
      <c r="K79" s="55"/>
      <c r="L79" s="59"/>
      <c r="M79" s="54"/>
      <c r="N79" s="59"/>
      <c r="O79" s="54"/>
      <c r="P79" s="63"/>
      <c r="Q79" s="92"/>
      <c r="R79" s="59"/>
      <c r="S79" s="54"/>
      <c r="T79" s="63"/>
      <c r="U79" s="97">
        <f>M79+Q79+S79</f>
        <v>0</v>
      </c>
      <c r="V79" s="56">
        <f>N79+R79+T79</f>
        <v>0</v>
      </c>
    </row>
    <row r="80" spans="1:22" ht="15.75" customHeight="1">
      <c r="A80" s="127" t="s">
        <v>475</v>
      </c>
      <c r="B80" s="128" t="s">
        <v>490</v>
      </c>
      <c r="C80" s="129" t="s">
        <v>555</v>
      </c>
      <c r="D80" s="77" t="s">
        <v>1303</v>
      </c>
      <c r="E80" s="54"/>
      <c r="F80" s="63"/>
      <c r="G80" s="54"/>
      <c r="H80" s="55"/>
      <c r="I80" s="55"/>
      <c r="J80" s="55"/>
      <c r="K80" s="55"/>
      <c r="L80" s="59"/>
      <c r="M80" s="54"/>
      <c r="N80" s="59"/>
      <c r="O80" s="54"/>
      <c r="P80" s="63"/>
      <c r="Q80" s="92"/>
      <c r="R80" s="59"/>
      <c r="S80" s="54"/>
      <c r="T80" s="63"/>
      <c r="U80" s="97">
        <f>M80+Q80+S80</f>
        <v>0</v>
      </c>
      <c r="V80" s="56">
        <f>N80+R80+T80</f>
        <v>0</v>
      </c>
    </row>
    <row r="81" spans="1:22" ht="15.75" customHeight="1">
      <c r="A81" s="127" t="s">
        <v>475</v>
      </c>
      <c r="B81" s="128" t="s">
        <v>490</v>
      </c>
      <c r="C81" s="128" t="s">
        <v>1304</v>
      </c>
      <c r="D81" s="77" t="s">
        <v>1305</v>
      </c>
      <c r="E81" s="54"/>
      <c r="F81" s="63"/>
      <c r="G81" s="54"/>
      <c r="H81" s="55"/>
      <c r="I81" s="55"/>
      <c r="J81" s="55"/>
      <c r="K81" s="55"/>
      <c r="L81" s="59"/>
      <c r="M81" s="54"/>
      <c r="N81" s="59"/>
      <c r="O81" s="54"/>
      <c r="P81" s="63"/>
      <c r="Q81" s="92"/>
      <c r="R81" s="59"/>
      <c r="S81" s="54"/>
      <c r="T81" s="63"/>
      <c r="U81" s="97"/>
      <c r="V81" s="56"/>
    </row>
    <row r="82" spans="1:22" ht="15.75" customHeight="1">
      <c r="A82" s="127" t="s">
        <v>475</v>
      </c>
      <c r="B82" s="128" t="s">
        <v>490</v>
      </c>
      <c r="C82" s="128" t="s">
        <v>1306</v>
      </c>
      <c r="D82" s="77" t="s">
        <v>1307</v>
      </c>
      <c r="E82" s="54"/>
      <c r="F82" s="63"/>
      <c r="G82" s="54"/>
      <c r="H82" s="55"/>
      <c r="I82" s="55"/>
      <c r="J82" s="55"/>
      <c r="K82" s="55"/>
      <c r="L82" s="59"/>
      <c r="M82" s="54"/>
      <c r="N82" s="59"/>
      <c r="O82" s="54"/>
      <c r="P82" s="63"/>
      <c r="Q82" s="92"/>
      <c r="R82" s="59"/>
      <c r="S82" s="54"/>
      <c r="T82" s="63"/>
      <c r="U82" s="97"/>
      <c r="V82" s="56"/>
    </row>
    <row r="83" spans="1:22" s="147" customFormat="1" ht="15.75" customHeight="1">
      <c r="A83" s="136" t="s">
        <v>475</v>
      </c>
      <c r="B83" s="137" t="s">
        <v>490</v>
      </c>
      <c r="C83" s="138" t="s">
        <v>556</v>
      </c>
      <c r="D83" s="139" t="s">
        <v>1308</v>
      </c>
      <c r="E83" s="140"/>
      <c r="F83" s="141">
        <f>16936+22465+84749+1218+60408+6292+57+840+3073+159+1848+2+217+794+104</f>
        <v>199162</v>
      </c>
      <c r="G83" s="140"/>
      <c r="H83" s="140">
        <v>204959</v>
      </c>
      <c r="I83" s="142"/>
      <c r="J83" s="142">
        <v>129275.981248</v>
      </c>
      <c r="K83" s="142"/>
      <c r="L83" s="142">
        <v>212552.04753921099</v>
      </c>
      <c r="M83" s="140"/>
      <c r="N83" s="140">
        <v>167967</v>
      </c>
      <c r="O83" s="140"/>
      <c r="P83" s="140">
        <v>3000</v>
      </c>
      <c r="Q83" s="144"/>
      <c r="R83" s="144">
        <v>86026</v>
      </c>
      <c r="S83" s="140"/>
      <c r="T83" s="140">
        <v>10000</v>
      </c>
      <c r="U83" s="145">
        <f>M83+O83+Q83+S83</f>
        <v>0</v>
      </c>
      <c r="V83" s="145">
        <f>N83+P83+R83+T83</f>
        <v>266993</v>
      </c>
    </row>
    <row r="84" spans="1:22" s="147" customFormat="1" ht="15.75" customHeight="1">
      <c r="A84" s="136" t="s">
        <v>475</v>
      </c>
      <c r="B84" s="137" t="s">
        <v>490</v>
      </c>
      <c r="C84" s="138" t="s">
        <v>1309</v>
      </c>
      <c r="D84" s="139" t="s">
        <v>1310</v>
      </c>
      <c r="E84" s="140">
        <f>9823+10338+26797+9</f>
        <v>46967</v>
      </c>
      <c r="F84" s="141"/>
      <c r="G84" s="142">
        <f>23111+24369</f>
        <v>47480</v>
      </c>
      <c r="H84" s="142"/>
      <c r="I84" s="142">
        <f>14519+11411</f>
        <v>25930</v>
      </c>
      <c r="J84" s="142"/>
      <c r="K84" s="142">
        <f>23393+19529</f>
        <v>42922</v>
      </c>
      <c r="L84" s="142"/>
      <c r="M84" s="140">
        <f>26902+26362</f>
        <v>53264</v>
      </c>
      <c r="N84" s="140"/>
      <c r="O84" s="140">
        <v>0</v>
      </c>
      <c r="P84" s="141">
        <v>0</v>
      </c>
      <c r="Q84" s="144">
        <v>0</v>
      </c>
      <c r="R84" s="143">
        <v>0</v>
      </c>
      <c r="S84" s="140">
        <v>0</v>
      </c>
      <c r="T84" s="141">
        <v>0</v>
      </c>
      <c r="U84" s="145">
        <f t="shared" ref="U84:U85" si="7">M84+O84+Q84+S84</f>
        <v>53264</v>
      </c>
      <c r="V84" s="146">
        <f t="shared" ref="V84:V85" si="8">N84+R84+T84</f>
        <v>0</v>
      </c>
    </row>
    <row r="85" spans="1:22" s="147" customFormat="1" ht="15.75" customHeight="1">
      <c r="A85" s="136" t="s">
        <v>475</v>
      </c>
      <c r="B85" s="137" t="s">
        <v>490</v>
      </c>
      <c r="C85" s="138" t="s">
        <v>1311</v>
      </c>
      <c r="D85" s="139" t="s">
        <v>1312</v>
      </c>
      <c r="E85" s="140">
        <f>807+4100+423+68+72</f>
        <v>5470</v>
      </c>
      <c r="F85" s="141"/>
      <c r="G85" s="142">
        <f>7645+7950</f>
        <v>15595</v>
      </c>
      <c r="H85" s="142"/>
      <c r="I85" s="142">
        <f>481+3717</f>
        <v>4198</v>
      </c>
      <c r="J85" s="142"/>
      <c r="K85" s="142">
        <f>7738+6371</f>
        <v>14109</v>
      </c>
      <c r="L85" s="142"/>
      <c r="M85" s="140">
        <f>8899+8600</f>
        <v>17499</v>
      </c>
      <c r="N85" s="140"/>
      <c r="O85" s="140">
        <v>0</v>
      </c>
      <c r="P85" s="141">
        <v>0</v>
      </c>
      <c r="Q85" s="144">
        <v>0</v>
      </c>
      <c r="R85" s="143">
        <v>0</v>
      </c>
      <c r="S85" s="140">
        <v>0</v>
      </c>
      <c r="T85" s="141">
        <v>0</v>
      </c>
      <c r="U85" s="145">
        <f t="shared" si="7"/>
        <v>17499</v>
      </c>
      <c r="V85" s="146">
        <f t="shared" si="8"/>
        <v>0</v>
      </c>
    </row>
    <row r="86" spans="1:22" ht="15.75" customHeight="1">
      <c r="A86" s="127" t="s">
        <v>475</v>
      </c>
      <c r="B86" s="128" t="s">
        <v>491</v>
      </c>
      <c r="C86" s="129" t="s">
        <v>557</v>
      </c>
      <c r="D86" s="77" t="s">
        <v>1313</v>
      </c>
      <c r="E86" s="54"/>
      <c r="F86" s="63"/>
      <c r="G86" s="54"/>
      <c r="H86" s="55"/>
      <c r="I86" s="55"/>
      <c r="J86" s="55"/>
      <c r="K86" s="55"/>
      <c r="L86" s="59"/>
      <c r="M86" s="54"/>
      <c r="N86" s="59"/>
      <c r="O86" s="54"/>
      <c r="P86" s="63"/>
      <c r="Q86" s="92"/>
      <c r="R86" s="59"/>
      <c r="S86" s="54"/>
      <c r="T86" s="63"/>
      <c r="U86" s="97">
        <f>M86+Q86+S86</f>
        <v>0</v>
      </c>
      <c r="V86" s="56">
        <f>N86+R86+T86</f>
        <v>0</v>
      </c>
    </row>
    <row r="87" spans="1:22" ht="15.75" customHeight="1">
      <c r="A87" s="127" t="s">
        <v>475</v>
      </c>
      <c r="B87" s="128" t="s">
        <v>491</v>
      </c>
      <c r="C87" s="129" t="s">
        <v>1314</v>
      </c>
      <c r="D87" s="77" t="s">
        <v>1315</v>
      </c>
      <c r="E87" s="54"/>
      <c r="F87" s="63"/>
      <c r="G87" s="54"/>
      <c r="H87" s="55"/>
      <c r="I87" s="55"/>
      <c r="J87" s="55"/>
      <c r="K87" s="55"/>
      <c r="L87" s="59"/>
      <c r="M87" s="54"/>
      <c r="N87" s="59"/>
      <c r="O87" s="54"/>
      <c r="P87" s="63"/>
      <c r="Q87" s="92"/>
      <c r="R87" s="59"/>
      <c r="S87" s="54"/>
      <c r="T87" s="63"/>
      <c r="U87" s="97"/>
      <c r="V87" s="56"/>
    </row>
    <row r="88" spans="1:22" ht="15.75" customHeight="1">
      <c r="A88" s="127" t="s">
        <v>475</v>
      </c>
      <c r="B88" s="128" t="s">
        <v>491</v>
      </c>
      <c r="C88" s="129" t="s">
        <v>1316</v>
      </c>
      <c r="D88" s="77" t="s">
        <v>1317</v>
      </c>
      <c r="E88" s="54"/>
      <c r="F88" s="63"/>
      <c r="G88" s="54"/>
      <c r="H88" s="55"/>
      <c r="I88" s="55"/>
      <c r="J88" s="55"/>
      <c r="K88" s="55"/>
      <c r="L88" s="59"/>
      <c r="M88" s="54"/>
      <c r="N88" s="59"/>
      <c r="O88" s="54"/>
      <c r="P88" s="63"/>
      <c r="Q88" s="92"/>
      <c r="R88" s="59"/>
      <c r="S88" s="54"/>
      <c r="T88" s="63"/>
      <c r="U88" s="97"/>
      <c r="V88" s="56"/>
    </row>
    <row r="89" spans="1:22" ht="15.75" customHeight="1">
      <c r="A89" s="127" t="s">
        <v>475</v>
      </c>
      <c r="B89" s="128" t="s">
        <v>492</v>
      </c>
      <c r="C89" s="129" t="s">
        <v>558</v>
      </c>
      <c r="D89" s="77" t="s">
        <v>1010</v>
      </c>
      <c r="E89" s="54"/>
      <c r="F89" s="63"/>
      <c r="G89" s="54"/>
      <c r="H89" s="55"/>
      <c r="I89" s="55"/>
      <c r="J89" s="55"/>
      <c r="K89" s="55"/>
      <c r="L89" s="59"/>
      <c r="M89" s="54"/>
      <c r="N89" s="59"/>
      <c r="O89" s="54"/>
      <c r="P89" s="63"/>
      <c r="Q89" s="92"/>
      <c r="R89" s="59"/>
      <c r="S89" s="54"/>
      <c r="T89" s="63"/>
      <c r="U89" s="97">
        <f>M89+Q89+S89</f>
        <v>0</v>
      </c>
      <c r="V89" s="56">
        <f>N89+R89+T89</f>
        <v>0</v>
      </c>
    </row>
    <row r="90" spans="1:22" ht="15.75" customHeight="1">
      <c r="A90" s="127" t="s">
        <v>475</v>
      </c>
      <c r="B90" s="128" t="s">
        <v>492</v>
      </c>
      <c r="C90" s="129" t="s">
        <v>1318</v>
      </c>
      <c r="D90" s="77" t="s">
        <v>1319</v>
      </c>
      <c r="E90" s="54"/>
      <c r="F90" s="63"/>
      <c r="G90" s="54"/>
      <c r="H90" s="55"/>
      <c r="I90" s="55"/>
      <c r="J90" s="55"/>
      <c r="K90" s="55"/>
      <c r="L90" s="59"/>
      <c r="M90" s="54"/>
      <c r="N90" s="59"/>
      <c r="O90" s="54"/>
      <c r="P90" s="63"/>
      <c r="Q90" s="92"/>
      <c r="R90" s="59"/>
      <c r="S90" s="54"/>
      <c r="T90" s="63"/>
      <c r="U90" s="97"/>
      <c r="V90" s="56"/>
    </row>
    <row r="91" spans="1:22" ht="15.75" customHeight="1">
      <c r="A91" s="127" t="s">
        <v>475</v>
      </c>
      <c r="B91" s="128" t="s">
        <v>492</v>
      </c>
      <c r="C91" s="129" t="s">
        <v>1320</v>
      </c>
      <c r="D91" s="77" t="s">
        <v>1321</v>
      </c>
      <c r="E91" s="54"/>
      <c r="F91" s="63"/>
      <c r="G91" s="54"/>
      <c r="H91" s="55"/>
      <c r="I91" s="55"/>
      <c r="J91" s="55"/>
      <c r="K91" s="55"/>
      <c r="L91" s="59"/>
      <c r="M91" s="54"/>
      <c r="N91" s="59"/>
      <c r="O91" s="54"/>
      <c r="P91" s="63"/>
      <c r="Q91" s="92"/>
      <c r="R91" s="59"/>
      <c r="S91" s="54"/>
      <c r="T91" s="63"/>
      <c r="U91" s="97"/>
      <c r="V91" s="56"/>
    </row>
    <row r="92" spans="1:22" ht="15.75" customHeight="1">
      <c r="A92" s="127" t="s">
        <v>475</v>
      </c>
      <c r="B92" s="128" t="s">
        <v>493</v>
      </c>
      <c r="C92" s="129" t="s">
        <v>559</v>
      </c>
      <c r="D92" s="77" t="s">
        <v>1011</v>
      </c>
      <c r="E92" s="54"/>
      <c r="F92" s="63"/>
      <c r="G92" s="54"/>
      <c r="H92" s="55"/>
      <c r="I92" s="55"/>
      <c r="J92" s="55"/>
      <c r="K92" s="55"/>
      <c r="L92" s="59"/>
      <c r="M92" s="54"/>
      <c r="N92" s="59"/>
      <c r="O92" s="54"/>
      <c r="P92" s="63"/>
      <c r="Q92" s="92"/>
      <c r="R92" s="59"/>
      <c r="S92" s="54"/>
      <c r="T92" s="63"/>
      <c r="U92" s="97">
        <f>M92+Q92+S92</f>
        <v>0</v>
      </c>
      <c r="V92" s="56">
        <f>N92+R92+T92</f>
        <v>0</v>
      </c>
    </row>
    <row r="93" spans="1:22" ht="15.75" customHeight="1">
      <c r="A93" s="127" t="s">
        <v>475</v>
      </c>
      <c r="B93" s="128" t="s">
        <v>493</v>
      </c>
      <c r="C93" s="131" t="s">
        <v>1322</v>
      </c>
      <c r="D93" s="77" t="s">
        <v>1323</v>
      </c>
      <c r="E93" s="54"/>
      <c r="F93" s="63"/>
      <c r="G93" s="54"/>
      <c r="H93" s="55"/>
      <c r="I93" s="55"/>
      <c r="J93" s="55"/>
      <c r="K93" s="55"/>
      <c r="L93" s="59"/>
      <c r="M93" s="54"/>
      <c r="N93" s="59"/>
      <c r="O93" s="54"/>
      <c r="P93" s="63"/>
      <c r="Q93" s="92"/>
      <c r="R93" s="59"/>
      <c r="S93" s="54"/>
      <c r="T93" s="63"/>
      <c r="U93" s="97"/>
      <c r="V93" s="56"/>
    </row>
    <row r="94" spans="1:22" ht="15.75" customHeight="1">
      <c r="A94" s="127" t="s">
        <v>475</v>
      </c>
      <c r="B94" s="128" t="s">
        <v>493</v>
      </c>
      <c r="C94" s="131" t="s">
        <v>1324</v>
      </c>
      <c r="D94" s="77" t="s">
        <v>1325</v>
      </c>
      <c r="E94" s="54"/>
      <c r="F94" s="63"/>
      <c r="G94" s="54"/>
      <c r="H94" s="55"/>
      <c r="I94" s="55"/>
      <c r="J94" s="55"/>
      <c r="K94" s="55"/>
      <c r="L94" s="59"/>
      <c r="M94" s="54"/>
      <c r="N94" s="59"/>
      <c r="O94" s="54"/>
      <c r="P94" s="63"/>
      <c r="Q94" s="92"/>
      <c r="R94" s="59"/>
      <c r="S94" s="54"/>
      <c r="T94" s="63"/>
      <c r="U94" s="97"/>
      <c r="V94" s="56"/>
    </row>
    <row r="95" spans="1:22" ht="15.75" customHeight="1" thickBot="1">
      <c r="A95" s="127" t="s">
        <v>475</v>
      </c>
      <c r="B95" s="128" t="s">
        <v>490</v>
      </c>
      <c r="C95" s="129" t="s">
        <v>560</v>
      </c>
      <c r="D95" s="77" t="s">
        <v>1012</v>
      </c>
      <c r="E95" s="54"/>
      <c r="F95" s="63"/>
      <c r="G95" s="54"/>
      <c r="H95" s="55"/>
      <c r="I95" s="55"/>
      <c r="J95" s="55"/>
      <c r="K95" s="55"/>
      <c r="L95" s="59"/>
      <c r="M95" s="54"/>
      <c r="N95" s="59"/>
      <c r="O95" s="88"/>
      <c r="P95" s="89"/>
      <c r="Q95" s="92"/>
      <c r="R95" s="59"/>
      <c r="S95" s="54"/>
      <c r="T95" s="63"/>
      <c r="U95" s="97">
        <f t="shared" ref="U95:U113" si="9">M95+Q95+S95</f>
        <v>0</v>
      </c>
      <c r="V95" s="56">
        <f t="shared" ref="V95:V113" si="10">N95+R95+T95</f>
        <v>0</v>
      </c>
    </row>
    <row r="96" spans="1:22" ht="15.75" customHeight="1">
      <c r="A96" s="127" t="s">
        <v>476</v>
      </c>
      <c r="B96" s="128" t="s">
        <v>494</v>
      </c>
      <c r="C96" s="129" t="s">
        <v>561</v>
      </c>
      <c r="D96" s="77" t="s">
        <v>1013</v>
      </c>
      <c r="E96" s="54"/>
      <c r="F96" s="63"/>
      <c r="G96" s="54"/>
      <c r="H96" s="55"/>
      <c r="I96" s="55"/>
      <c r="J96" s="55"/>
      <c r="K96" s="55"/>
      <c r="L96" s="59"/>
      <c r="M96" s="54"/>
      <c r="N96" s="63"/>
      <c r="O96" s="190"/>
      <c r="P96" s="190"/>
      <c r="Q96" s="92"/>
      <c r="R96" s="59"/>
      <c r="S96" s="54"/>
      <c r="T96" s="63"/>
      <c r="U96" s="97">
        <f t="shared" si="9"/>
        <v>0</v>
      </c>
      <c r="V96" s="56">
        <f t="shared" si="10"/>
        <v>0</v>
      </c>
    </row>
    <row r="97" spans="1:22" ht="15.75" customHeight="1">
      <c r="A97" s="127" t="s">
        <v>476</v>
      </c>
      <c r="B97" s="128" t="s">
        <v>494</v>
      </c>
      <c r="C97" s="129" t="s">
        <v>562</v>
      </c>
      <c r="D97" s="77" t="s">
        <v>1014</v>
      </c>
      <c r="E97" s="54"/>
      <c r="F97" s="63"/>
      <c r="G97" s="54"/>
      <c r="H97" s="55"/>
      <c r="I97" s="55"/>
      <c r="J97" s="55"/>
      <c r="K97" s="55"/>
      <c r="L97" s="59"/>
      <c r="M97" s="54"/>
      <c r="N97" s="63"/>
      <c r="O97" s="191"/>
      <c r="P97" s="191"/>
      <c r="Q97" s="92"/>
      <c r="R97" s="59"/>
      <c r="S97" s="54"/>
      <c r="T97" s="63"/>
      <c r="U97" s="97">
        <f t="shared" si="9"/>
        <v>0</v>
      </c>
      <c r="V97" s="56">
        <f t="shared" si="10"/>
        <v>0</v>
      </c>
    </row>
    <row r="98" spans="1:22" ht="15.75" customHeight="1">
      <c r="A98" s="127" t="s">
        <v>476</v>
      </c>
      <c r="B98" s="128" t="s">
        <v>494</v>
      </c>
      <c r="C98" s="129" t="s">
        <v>563</v>
      </c>
      <c r="D98" s="77" t="s">
        <v>1015</v>
      </c>
      <c r="E98" s="54"/>
      <c r="F98" s="63"/>
      <c r="G98" s="54"/>
      <c r="H98" s="55"/>
      <c r="I98" s="55"/>
      <c r="J98" s="55"/>
      <c r="K98" s="55"/>
      <c r="L98" s="59"/>
      <c r="M98" s="54"/>
      <c r="N98" s="63"/>
      <c r="O98" s="191"/>
      <c r="P98" s="191"/>
      <c r="Q98" s="92"/>
      <c r="R98" s="59"/>
      <c r="S98" s="54"/>
      <c r="T98" s="63"/>
      <c r="U98" s="97">
        <f t="shared" si="9"/>
        <v>0</v>
      </c>
      <c r="V98" s="56">
        <f t="shared" si="10"/>
        <v>0</v>
      </c>
    </row>
    <row r="99" spans="1:22" ht="15.75" customHeight="1">
      <c r="A99" s="127" t="s">
        <v>476</v>
      </c>
      <c r="B99" s="128" t="s">
        <v>494</v>
      </c>
      <c r="C99" s="129" t="s">
        <v>564</v>
      </c>
      <c r="D99" s="77" t="s">
        <v>1016</v>
      </c>
      <c r="E99" s="54"/>
      <c r="F99" s="63"/>
      <c r="G99" s="54"/>
      <c r="H99" s="55"/>
      <c r="I99" s="55"/>
      <c r="J99" s="55"/>
      <c r="K99" s="55"/>
      <c r="L99" s="59"/>
      <c r="M99" s="54"/>
      <c r="N99" s="63"/>
      <c r="O99" s="191"/>
      <c r="P99" s="191"/>
      <c r="Q99" s="92"/>
      <c r="R99" s="59"/>
      <c r="S99" s="54"/>
      <c r="T99" s="63"/>
      <c r="U99" s="97">
        <f t="shared" si="9"/>
        <v>0</v>
      </c>
      <c r="V99" s="56">
        <f t="shared" si="10"/>
        <v>0</v>
      </c>
    </row>
    <row r="100" spans="1:22" ht="15.75" customHeight="1">
      <c r="A100" s="127" t="s">
        <v>476</v>
      </c>
      <c r="B100" s="128" t="s">
        <v>494</v>
      </c>
      <c r="C100" s="129" t="s">
        <v>565</v>
      </c>
      <c r="D100" s="77" t="s">
        <v>1017</v>
      </c>
      <c r="E100" s="54"/>
      <c r="F100" s="63"/>
      <c r="G100" s="54"/>
      <c r="H100" s="55"/>
      <c r="I100" s="55"/>
      <c r="J100" s="55"/>
      <c r="K100" s="55"/>
      <c r="L100" s="59"/>
      <c r="M100" s="54"/>
      <c r="N100" s="63"/>
      <c r="O100" s="191"/>
      <c r="P100" s="191"/>
      <c r="Q100" s="92"/>
      <c r="R100" s="59"/>
      <c r="S100" s="54"/>
      <c r="T100" s="63"/>
      <c r="U100" s="97">
        <f t="shared" si="9"/>
        <v>0</v>
      </c>
      <c r="V100" s="56">
        <f t="shared" si="10"/>
        <v>0</v>
      </c>
    </row>
    <row r="101" spans="1:22" ht="15.75" customHeight="1">
      <c r="A101" s="127" t="s">
        <v>476</v>
      </c>
      <c r="B101" s="128" t="s">
        <v>494</v>
      </c>
      <c r="C101" s="129" t="s">
        <v>566</v>
      </c>
      <c r="D101" s="77" t="s">
        <v>1018</v>
      </c>
      <c r="E101" s="54"/>
      <c r="F101" s="63"/>
      <c r="G101" s="54"/>
      <c r="H101" s="55"/>
      <c r="I101" s="55"/>
      <c r="J101" s="55"/>
      <c r="K101" s="55"/>
      <c r="L101" s="59"/>
      <c r="M101" s="54"/>
      <c r="N101" s="63"/>
      <c r="O101" s="191"/>
      <c r="P101" s="191"/>
      <c r="Q101" s="92"/>
      <c r="R101" s="59"/>
      <c r="S101" s="54"/>
      <c r="T101" s="63"/>
      <c r="U101" s="97">
        <f t="shared" si="9"/>
        <v>0</v>
      </c>
      <c r="V101" s="56">
        <f t="shared" si="10"/>
        <v>0</v>
      </c>
    </row>
    <row r="102" spans="1:22" ht="15.75" customHeight="1">
      <c r="A102" s="127" t="s">
        <v>477</v>
      </c>
      <c r="B102" s="128" t="s">
        <v>495</v>
      </c>
      <c r="C102" s="129" t="s">
        <v>567</v>
      </c>
      <c r="D102" s="77" t="s">
        <v>1019</v>
      </c>
      <c r="E102" s="54"/>
      <c r="F102" s="63"/>
      <c r="G102" s="54"/>
      <c r="H102" s="55"/>
      <c r="I102" s="55"/>
      <c r="J102" s="55"/>
      <c r="K102" s="55"/>
      <c r="L102" s="59"/>
      <c r="M102" s="54"/>
      <c r="N102" s="63"/>
      <c r="O102" s="191"/>
      <c r="P102" s="191"/>
      <c r="Q102" s="92"/>
      <c r="R102" s="59"/>
      <c r="S102" s="54"/>
      <c r="T102" s="63"/>
      <c r="U102" s="97">
        <f t="shared" si="9"/>
        <v>0</v>
      </c>
      <c r="V102" s="56">
        <f t="shared" si="10"/>
        <v>0</v>
      </c>
    </row>
    <row r="103" spans="1:22" ht="15.75" customHeight="1">
      <c r="A103" s="127" t="s">
        <v>477</v>
      </c>
      <c r="B103" s="128" t="s">
        <v>495</v>
      </c>
      <c r="C103" s="129" t="s">
        <v>568</v>
      </c>
      <c r="D103" s="77" t="s">
        <v>1020</v>
      </c>
      <c r="E103" s="54"/>
      <c r="F103" s="63"/>
      <c r="G103" s="54"/>
      <c r="H103" s="55"/>
      <c r="I103" s="55"/>
      <c r="J103" s="55"/>
      <c r="K103" s="55"/>
      <c r="L103" s="59"/>
      <c r="M103" s="54"/>
      <c r="N103" s="63"/>
      <c r="O103" s="191"/>
      <c r="P103" s="191"/>
      <c r="Q103" s="92"/>
      <c r="R103" s="59"/>
      <c r="S103" s="54"/>
      <c r="T103" s="63"/>
      <c r="U103" s="97">
        <f t="shared" si="9"/>
        <v>0</v>
      </c>
      <c r="V103" s="56">
        <f t="shared" si="10"/>
        <v>0</v>
      </c>
    </row>
    <row r="104" spans="1:22" ht="15.75" customHeight="1">
      <c r="A104" s="127" t="s">
        <v>477</v>
      </c>
      <c r="B104" s="128" t="s">
        <v>495</v>
      </c>
      <c r="C104" s="129" t="s">
        <v>569</v>
      </c>
      <c r="D104" s="77" t="s">
        <v>1021</v>
      </c>
      <c r="E104" s="54"/>
      <c r="F104" s="63"/>
      <c r="G104" s="54"/>
      <c r="H104" s="55"/>
      <c r="I104" s="55"/>
      <c r="J104" s="55"/>
      <c r="K104" s="55"/>
      <c r="L104" s="59"/>
      <c r="M104" s="54"/>
      <c r="N104" s="63"/>
      <c r="O104" s="191"/>
      <c r="P104" s="191"/>
      <c r="Q104" s="92"/>
      <c r="R104" s="59"/>
      <c r="S104" s="54"/>
      <c r="T104" s="63"/>
      <c r="U104" s="97">
        <f t="shared" si="9"/>
        <v>0</v>
      </c>
      <c r="V104" s="56">
        <f t="shared" si="10"/>
        <v>0</v>
      </c>
    </row>
    <row r="105" spans="1:22" ht="15.75" customHeight="1">
      <c r="A105" s="127" t="s">
        <v>477</v>
      </c>
      <c r="B105" s="128" t="s">
        <v>495</v>
      </c>
      <c r="C105" s="129" t="s">
        <v>570</v>
      </c>
      <c r="D105" s="77" t="s">
        <v>1022</v>
      </c>
      <c r="E105" s="54"/>
      <c r="F105" s="63"/>
      <c r="G105" s="54"/>
      <c r="H105" s="55"/>
      <c r="I105" s="55"/>
      <c r="J105" s="55"/>
      <c r="K105" s="55"/>
      <c r="L105" s="59"/>
      <c r="M105" s="54"/>
      <c r="N105" s="63"/>
      <c r="O105" s="191"/>
      <c r="P105" s="191"/>
      <c r="Q105" s="92"/>
      <c r="R105" s="59"/>
      <c r="S105" s="54"/>
      <c r="T105" s="63"/>
      <c r="U105" s="97">
        <f t="shared" si="9"/>
        <v>0</v>
      </c>
      <c r="V105" s="56">
        <f t="shared" si="10"/>
        <v>0</v>
      </c>
    </row>
    <row r="106" spans="1:22" ht="15.75" customHeight="1">
      <c r="A106" s="127" t="s">
        <v>477</v>
      </c>
      <c r="B106" s="128" t="s">
        <v>495</v>
      </c>
      <c r="C106" s="129" t="s">
        <v>571</v>
      </c>
      <c r="D106" s="77" t="s">
        <v>1023</v>
      </c>
      <c r="E106" s="54"/>
      <c r="F106" s="63"/>
      <c r="G106" s="54"/>
      <c r="H106" s="55"/>
      <c r="I106" s="55"/>
      <c r="J106" s="55"/>
      <c r="K106" s="55"/>
      <c r="L106" s="59"/>
      <c r="M106" s="54"/>
      <c r="N106" s="63"/>
      <c r="O106" s="191"/>
      <c r="P106" s="191"/>
      <c r="Q106" s="92"/>
      <c r="R106" s="59"/>
      <c r="S106" s="54"/>
      <c r="T106" s="63"/>
      <c r="U106" s="97">
        <f t="shared" si="9"/>
        <v>0</v>
      </c>
      <c r="V106" s="56">
        <f t="shared" si="10"/>
        <v>0</v>
      </c>
    </row>
    <row r="107" spans="1:22" ht="18" customHeight="1">
      <c r="A107" s="127" t="s">
        <v>477</v>
      </c>
      <c r="B107" s="128" t="s">
        <v>495</v>
      </c>
      <c r="C107" s="132" t="s">
        <v>572</v>
      </c>
      <c r="D107" s="77" t="s">
        <v>1024</v>
      </c>
      <c r="E107" s="54"/>
      <c r="F107" s="63"/>
      <c r="G107" s="54"/>
      <c r="H107" s="55"/>
      <c r="I107" s="55"/>
      <c r="J107" s="55"/>
      <c r="K107" s="55"/>
      <c r="L107" s="59"/>
      <c r="M107" s="54"/>
      <c r="N107" s="63"/>
      <c r="O107" s="191"/>
      <c r="P107" s="191"/>
      <c r="Q107" s="92"/>
      <c r="R107" s="59"/>
      <c r="S107" s="54"/>
      <c r="T107" s="63"/>
      <c r="U107" s="97">
        <f t="shared" si="9"/>
        <v>0</v>
      </c>
      <c r="V107" s="56">
        <f t="shared" si="10"/>
        <v>0</v>
      </c>
    </row>
    <row r="108" spans="1:22" ht="15.75" customHeight="1">
      <c r="A108" s="127" t="s">
        <v>477</v>
      </c>
      <c r="B108" s="128" t="s">
        <v>638</v>
      </c>
      <c r="C108" s="129" t="s">
        <v>639</v>
      </c>
      <c r="D108" s="77" t="s">
        <v>1025</v>
      </c>
      <c r="E108" s="54"/>
      <c r="F108" s="63"/>
      <c r="G108" s="54"/>
      <c r="H108" s="55"/>
      <c r="I108" s="55"/>
      <c r="J108" s="55"/>
      <c r="K108" s="55"/>
      <c r="L108" s="59"/>
      <c r="M108" s="54"/>
      <c r="N108" s="63"/>
      <c r="O108" s="191"/>
      <c r="P108" s="191"/>
      <c r="Q108" s="92"/>
      <c r="R108" s="59"/>
      <c r="S108" s="54"/>
      <c r="T108" s="63"/>
      <c r="U108" s="97">
        <f t="shared" si="9"/>
        <v>0</v>
      </c>
      <c r="V108" s="56">
        <f t="shared" si="10"/>
        <v>0</v>
      </c>
    </row>
    <row r="109" spans="1:22" ht="15.75" customHeight="1">
      <c r="A109" s="127" t="s">
        <v>477</v>
      </c>
      <c r="B109" s="128" t="s">
        <v>638</v>
      </c>
      <c r="C109" s="129" t="s">
        <v>640</v>
      </c>
      <c r="D109" s="77" t="s">
        <v>1026</v>
      </c>
      <c r="E109" s="54"/>
      <c r="F109" s="63"/>
      <c r="G109" s="54"/>
      <c r="H109" s="55"/>
      <c r="I109" s="55"/>
      <c r="J109" s="55"/>
      <c r="K109" s="55"/>
      <c r="L109" s="59"/>
      <c r="M109" s="54"/>
      <c r="N109" s="63"/>
      <c r="O109" s="191"/>
      <c r="P109" s="191"/>
      <c r="Q109" s="92"/>
      <c r="R109" s="59"/>
      <c r="S109" s="54"/>
      <c r="T109" s="63"/>
      <c r="U109" s="97">
        <f t="shared" si="9"/>
        <v>0</v>
      </c>
      <c r="V109" s="56">
        <f t="shared" si="10"/>
        <v>0</v>
      </c>
    </row>
    <row r="110" spans="1:22" ht="15.75" customHeight="1">
      <c r="A110" s="127" t="s">
        <v>477</v>
      </c>
      <c r="B110" s="128" t="s">
        <v>638</v>
      </c>
      <c r="C110" s="129" t="s">
        <v>641</v>
      </c>
      <c r="D110" s="77" t="s">
        <v>1027</v>
      </c>
      <c r="E110" s="54"/>
      <c r="F110" s="63"/>
      <c r="G110" s="54"/>
      <c r="H110" s="55"/>
      <c r="I110" s="55"/>
      <c r="J110" s="55"/>
      <c r="K110" s="55"/>
      <c r="L110" s="59"/>
      <c r="M110" s="54"/>
      <c r="N110" s="63"/>
      <c r="O110" s="191"/>
      <c r="P110" s="191"/>
      <c r="Q110" s="92"/>
      <c r="R110" s="59"/>
      <c r="S110" s="54"/>
      <c r="T110" s="63"/>
      <c r="U110" s="97">
        <f t="shared" si="9"/>
        <v>0</v>
      </c>
      <c r="V110" s="56">
        <f t="shared" si="10"/>
        <v>0</v>
      </c>
    </row>
    <row r="111" spans="1:22" ht="15.75" customHeight="1">
      <c r="A111" s="127" t="s">
        <v>477</v>
      </c>
      <c r="B111" s="128" t="s">
        <v>638</v>
      </c>
      <c r="C111" s="129" t="s">
        <v>642</v>
      </c>
      <c r="D111" s="77" t="s">
        <v>1028</v>
      </c>
      <c r="E111" s="54"/>
      <c r="F111" s="63"/>
      <c r="G111" s="54"/>
      <c r="H111" s="55"/>
      <c r="I111" s="55"/>
      <c r="J111" s="55"/>
      <c r="K111" s="55"/>
      <c r="L111" s="59"/>
      <c r="M111" s="54"/>
      <c r="N111" s="63"/>
      <c r="O111" s="191"/>
      <c r="P111" s="191"/>
      <c r="Q111" s="92"/>
      <c r="R111" s="59"/>
      <c r="S111" s="54"/>
      <c r="T111" s="63"/>
      <c r="U111" s="97">
        <f t="shared" si="9"/>
        <v>0</v>
      </c>
      <c r="V111" s="56">
        <f t="shared" si="10"/>
        <v>0</v>
      </c>
    </row>
    <row r="112" spans="1:22" ht="15.75" customHeight="1">
      <c r="A112" s="127" t="s">
        <v>477</v>
      </c>
      <c r="B112" s="128" t="s">
        <v>638</v>
      </c>
      <c r="C112" s="129" t="s">
        <v>643</v>
      </c>
      <c r="D112" s="77" t="s">
        <v>1029</v>
      </c>
      <c r="E112" s="54"/>
      <c r="F112" s="63"/>
      <c r="G112" s="54"/>
      <c r="H112" s="55"/>
      <c r="I112" s="55"/>
      <c r="J112" s="55"/>
      <c r="K112" s="55"/>
      <c r="L112" s="59"/>
      <c r="M112" s="54"/>
      <c r="N112" s="63"/>
      <c r="O112" s="191"/>
      <c r="P112" s="191"/>
      <c r="Q112" s="92"/>
      <c r="R112" s="59"/>
      <c r="S112" s="54"/>
      <c r="T112" s="63"/>
      <c r="U112" s="97">
        <f t="shared" si="9"/>
        <v>0</v>
      </c>
      <c r="V112" s="56">
        <f t="shared" si="10"/>
        <v>0</v>
      </c>
    </row>
    <row r="113" spans="1:22" ht="15.75" customHeight="1">
      <c r="A113" s="127" t="s">
        <v>477</v>
      </c>
      <c r="B113" s="128" t="s">
        <v>638</v>
      </c>
      <c r="C113" s="129" t="s">
        <v>644</v>
      </c>
      <c r="D113" s="77" t="s">
        <v>1030</v>
      </c>
      <c r="E113" s="54"/>
      <c r="F113" s="63"/>
      <c r="G113" s="54"/>
      <c r="H113" s="55"/>
      <c r="I113" s="55"/>
      <c r="J113" s="55"/>
      <c r="K113" s="55"/>
      <c r="L113" s="59"/>
      <c r="M113" s="54"/>
      <c r="N113" s="63"/>
      <c r="O113" s="191"/>
      <c r="P113" s="191"/>
      <c r="Q113" s="92"/>
      <c r="R113" s="59"/>
      <c r="S113" s="54"/>
      <c r="T113" s="63"/>
      <c r="U113" s="97">
        <f t="shared" si="9"/>
        <v>0</v>
      </c>
      <c r="V113" s="56">
        <f t="shared" si="10"/>
        <v>0</v>
      </c>
    </row>
    <row r="114" spans="1:22" ht="15.75" customHeight="1">
      <c r="A114" s="127" t="s">
        <v>477</v>
      </c>
      <c r="B114" s="128" t="s">
        <v>638</v>
      </c>
      <c r="C114" s="129" t="s">
        <v>1326</v>
      </c>
      <c r="D114" s="77" t="s">
        <v>1327</v>
      </c>
      <c r="E114" s="54"/>
      <c r="F114" s="63"/>
      <c r="G114" s="54"/>
      <c r="H114" s="55"/>
      <c r="I114" s="55"/>
      <c r="J114" s="55"/>
      <c r="K114" s="55"/>
      <c r="L114" s="59"/>
      <c r="M114" s="54"/>
      <c r="N114" s="63"/>
      <c r="O114" s="191"/>
      <c r="P114" s="191"/>
      <c r="Q114" s="92"/>
      <c r="R114" s="59"/>
      <c r="S114" s="54"/>
      <c r="T114" s="63"/>
      <c r="U114" s="97"/>
      <c r="V114" s="56"/>
    </row>
    <row r="115" spans="1:22" ht="15.75" customHeight="1">
      <c r="A115" s="127" t="s">
        <v>477</v>
      </c>
      <c r="B115" s="128" t="s">
        <v>638</v>
      </c>
      <c r="C115" s="129" t="s">
        <v>1328</v>
      </c>
      <c r="D115" s="77" t="s">
        <v>1329</v>
      </c>
      <c r="E115" s="54"/>
      <c r="F115" s="63"/>
      <c r="G115" s="54"/>
      <c r="H115" s="55"/>
      <c r="I115" s="55"/>
      <c r="J115" s="55"/>
      <c r="K115" s="55"/>
      <c r="L115" s="59"/>
      <c r="M115" s="54"/>
      <c r="N115" s="63"/>
      <c r="O115" s="191"/>
      <c r="P115" s="191"/>
      <c r="Q115" s="92"/>
      <c r="R115" s="59"/>
      <c r="S115" s="54"/>
      <c r="T115" s="63"/>
      <c r="U115" s="97"/>
      <c r="V115" s="56"/>
    </row>
    <row r="116" spans="1:22" ht="15.75" customHeight="1">
      <c r="A116" s="127" t="s">
        <v>477</v>
      </c>
      <c r="B116" s="128" t="s">
        <v>496</v>
      </c>
      <c r="C116" s="129" t="s">
        <v>573</v>
      </c>
      <c r="D116" s="77" t="s">
        <v>1031</v>
      </c>
      <c r="E116" s="54"/>
      <c r="F116" s="63"/>
      <c r="G116" s="54"/>
      <c r="H116" s="55"/>
      <c r="I116" s="55"/>
      <c r="J116" s="55"/>
      <c r="K116" s="55"/>
      <c r="L116" s="59"/>
      <c r="M116" s="54"/>
      <c r="N116" s="63"/>
      <c r="O116" s="191"/>
      <c r="P116" s="191"/>
      <c r="Q116" s="92"/>
      <c r="R116" s="59"/>
      <c r="S116" s="54"/>
      <c r="T116" s="63"/>
      <c r="U116" s="97">
        <f t="shared" ref="U116:U154" si="11">M116+Q116+S116</f>
        <v>0</v>
      </c>
      <c r="V116" s="56">
        <f t="shared" ref="V116:V154" si="12">N116+R116+T116</f>
        <v>0</v>
      </c>
    </row>
    <row r="117" spans="1:22" ht="15.75" customHeight="1">
      <c r="A117" s="127" t="s">
        <v>477</v>
      </c>
      <c r="B117" s="128" t="s">
        <v>496</v>
      </c>
      <c r="C117" s="130" t="s">
        <v>574</v>
      </c>
      <c r="D117" s="77" t="s">
        <v>1032</v>
      </c>
      <c r="E117" s="54"/>
      <c r="F117" s="63"/>
      <c r="G117" s="54"/>
      <c r="H117" s="55"/>
      <c r="I117" s="55"/>
      <c r="J117" s="55"/>
      <c r="K117" s="55"/>
      <c r="L117" s="59"/>
      <c r="M117" s="54"/>
      <c r="N117" s="63"/>
      <c r="O117" s="191"/>
      <c r="P117" s="191"/>
      <c r="Q117" s="92"/>
      <c r="R117" s="59"/>
      <c r="S117" s="54"/>
      <c r="T117" s="63"/>
      <c r="U117" s="97">
        <f t="shared" si="11"/>
        <v>0</v>
      </c>
      <c r="V117" s="56">
        <f t="shared" si="12"/>
        <v>0</v>
      </c>
    </row>
    <row r="118" spans="1:22" ht="15.75" customHeight="1">
      <c r="A118" s="127" t="s">
        <v>477</v>
      </c>
      <c r="B118" s="128" t="s">
        <v>496</v>
      </c>
      <c r="C118" s="130" t="s">
        <v>575</v>
      </c>
      <c r="D118" s="77" t="s">
        <v>1033</v>
      </c>
      <c r="E118" s="54"/>
      <c r="F118" s="63"/>
      <c r="G118" s="54"/>
      <c r="H118" s="55"/>
      <c r="I118" s="55"/>
      <c r="J118" s="55"/>
      <c r="K118" s="55"/>
      <c r="L118" s="59"/>
      <c r="M118" s="54"/>
      <c r="N118" s="63"/>
      <c r="O118" s="191"/>
      <c r="P118" s="191"/>
      <c r="Q118" s="92"/>
      <c r="R118" s="59"/>
      <c r="S118" s="54"/>
      <c r="T118" s="63"/>
      <c r="U118" s="97">
        <f t="shared" si="11"/>
        <v>0</v>
      </c>
      <c r="V118" s="56">
        <f t="shared" si="12"/>
        <v>0</v>
      </c>
    </row>
    <row r="119" spans="1:22" ht="15.75" customHeight="1">
      <c r="A119" s="127" t="s">
        <v>477</v>
      </c>
      <c r="B119" s="128" t="s">
        <v>496</v>
      </c>
      <c r="C119" s="129" t="s">
        <v>576</v>
      </c>
      <c r="D119" s="77" t="s">
        <v>1034</v>
      </c>
      <c r="E119" s="54"/>
      <c r="F119" s="63"/>
      <c r="G119" s="54"/>
      <c r="H119" s="55"/>
      <c r="I119" s="55"/>
      <c r="J119" s="55"/>
      <c r="K119" s="55"/>
      <c r="L119" s="59"/>
      <c r="M119" s="54"/>
      <c r="N119" s="63"/>
      <c r="O119" s="191"/>
      <c r="P119" s="191"/>
      <c r="Q119" s="92"/>
      <c r="R119" s="59"/>
      <c r="S119" s="54"/>
      <c r="T119" s="63"/>
      <c r="U119" s="97">
        <f t="shared" si="11"/>
        <v>0</v>
      </c>
      <c r="V119" s="56">
        <f t="shared" si="12"/>
        <v>0</v>
      </c>
    </row>
    <row r="120" spans="1:22" ht="15.75" customHeight="1">
      <c r="A120" s="127" t="s">
        <v>477</v>
      </c>
      <c r="B120" s="128" t="s">
        <v>496</v>
      </c>
      <c r="C120" s="129" t="s">
        <v>577</v>
      </c>
      <c r="D120" s="77" t="s">
        <v>1035</v>
      </c>
      <c r="E120" s="54"/>
      <c r="F120" s="63"/>
      <c r="G120" s="54"/>
      <c r="H120" s="55"/>
      <c r="I120" s="55"/>
      <c r="J120" s="55"/>
      <c r="K120" s="55"/>
      <c r="L120" s="59"/>
      <c r="M120" s="54"/>
      <c r="N120" s="63"/>
      <c r="O120" s="191"/>
      <c r="P120" s="191"/>
      <c r="Q120" s="92"/>
      <c r="R120" s="59"/>
      <c r="S120" s="54"/>
      <c r="T120" s="63"/>
      <c r="U120" s="97">
        <f t="shared" si="11"/>
        <v>0</v>
      </c>
      <c r="V120" s="56">
        <f t="shared" si="12"/>
        <v>0</v>
      </c>
    </row>
    <row r="121" spans="1:22" ht="15.75" customHeight="1">
      <c r="A121" s="127" t="s">
        <v>477</v>
      </c>
      <c r="B121" s="128" t="s">
        <v>496</v>
      </c>
      <c r="C121" s="129" t="s">
        <v>578</v>
      </c>
      <c r="D121" s="77" t="s">
        <v>1036</v>
      </c>
      <c r="E121" s="54"/>
      <c r="F121" s="63"/>
      <c r="G121" s="54"/>
      <c r="H121" s="55"/>
      <c r="I121" s="55"/>
      <c r="J121" s="55"/>
      <c r="K121" s="55"/>
      <c r="L121" s="59"/>
      <c r="M121" s="54"/>
      <c r="N121" s="63"/>
      <c r="O121" s="191"/>
      <c r="P121" s="191"/>
      <c r="Q121" s="92"/>
      <c r="R121" s="59"/>
      <c r="S121" s="54"/>
      <c r="T121" s="63"/>
      <c r="U121" s="97">
        <f t="shared" si="11"/>
        <v>0</v>
      </c>
      <c r="V121" s="56">
        <f t="shared" si="12"/>
        <v>0</v>
      </c>
    </row>
    <row r="122" spans="1:22" ht="15.75" customHeight="1">
      <c r="A122" s="127" t="s">
        <v>477</v>
      </c>
      <c r="B122" s="128" t="s">
        <v>496</v>
      </c>
      <c r="C122" s="129" t="s">
        <v>579</v>
      </c>
      <c r="D122" s="77" t="s">
        <v>1037</v>
      </c>
      <c r="E122" s="54"/>
      <c r="F122" s="63"/>
      <c r="G122" s="54"/>
      <c r="H122" s="55"/>
      <c r="I122" s="55"/>
      <c r="J122" s="55"/>
      <c r="K122" s="55"/>
      <c r="L122" s="59"/>
      <c r="M122" s="54"/>
      <c r="N122" s="63"/>
      <c r="O122" s="191"/>
      <c r="P122" s="191"/>
      <c r="Q122" s="92"/>
      <c r="R122" s="59"/>
      <c r="S122" s="54"/>
      <c r="T122" s="63"/>
      <c r="U122" s="97">
        <f t="shared" si="11"/>
        <v>0</v>
      </c>
      <c r="V122" s="56">
        <f t="shared" si="12"/>
        <v>0</v>
      </c>
    </row>
    <row r="123" spans="1:22" ht="15.75" customHeight="1">
      <c r="A123" s="127" t="s">
        <v>477</v>
      </c>
      <c r="B123" s="128" t="s">
        <v>496</v>
      </c>
      <c r="C123" s="129" t="s">
        <v>580</v>
      </c>
      <c r="D123" s="77" t="s">
        <v>1038</v>
      </c>
      <c r="E123" s="54"/>
      <c r="F123" s="63"/>
      <c r="G123" s="54"/>
      <c r="H123" s="55"/>
      <c r="I123" s="55"/>
      <c r="J123" s="55"/>
      <c r="K123" s="55"/>
      <c r="L123" s="59"/>
      <c r="M123" s="54"/>
      <c r="N123" s="63"/>
      <c r="O123" s="191"/>
      <c r="P123" s="191"/>
      <c r="Q123" s="92"/>
      <c r="R123" s="59"/>
      <c r="S123" s="54"/>
      <c r="T123" s="63"/>
      <c r="U123" s="97">
        <f t="shared" si="11"/>
        <v>0</v>
      </c>
      <c r="V123" s="56">
        <f t="shared" si="12"/>
        <v>0</v>
      </c>
    </row>
    <row r="124" spans="1:22" ht="15.75" customHeight="1">
      <c r="A124" s="127" t="s">
        <v>477</v>
      </c>
      <c r="B124" s="128" t="s">
        <v>496</v>
      </c>
      <c r="C124" s="129" t="s">
        <v>581</v>
      </c>
      <c r="D124" s="77" t="s">
        <v>1039</v>
      </c>
      <c r="E124" s="54"/>
      <c r="F124" s="63"/>
      <c r="G124" s="54"/>
      <c r="H124" s="55"/>
      <c r="I124" s="55"/>
      <c r="J124" s="55"/>
      <c r="K124" s="55"/>
      <c r="L124" s="59"/>
      <c r="M124" s="54"/>
      <c r="N124" s="63"/>
      <c r="O124" s="191"/>
      <c r="P124" s="191"/>
      <c r="Q124" s="92"/>
      <c r="R124" s="59"/>
      <c r="S124" s="54"/>
      <c r="T124" s="63"/>
      <c r="U124" s="97">
        <f t="shared" si="11"/>
        <v>0</v>
      </c>
      <c r="V124" s="56">
        <f t="shared" si="12"/>
        <v>0</v>
      </c>
    </row>
    <row r="125" spans="1:22" ht="15.75" customHeight="1">
      <c r="A125" s="127" t="s">
        <v>477</v>
      </c>
      <c r="B125" s="128" t="s">
        <v>497</v>
      </c>
      <c r="C125" s="129" t="s">
        <v>497</v>
      </c>
      <c r="D125" s="77" t="s">
        <v>1040</v>
      </c>
      <c r="E125" s="54"/>
      <c r="F125" s="63"/>
      <c r="G125" s="54"/>
      <c r="H125" s="55"/>
      <c r="I125" s="55"/>
      <c r="J125" s="55"/>
      <c r="K125" s="55"/>
      <c r="L125" s="59"/>
      <c r="M125" s="54"/>
      <c r="N125" s="63"/>
      <c r="O125" s="191"/>
      <c r="P125" s="191"/>
      <c r="Q125" s="92"/>
      <c r="R125" s="59"/>
      <c r="S125" s="54"/>
      <c r="T125" s="63"/>
      <c r="U125" s="97">
        <f t="shared" si="11"/>
        <v>0</v>
      </c>
      <c r="V125" s="56">
        <f t="shared" si="12"/>
        <v>0</v>
      </c>
    </row>
    <row r="126" spans="1:22" ht="15.75" customHeight="1">
      <c r="A126" s="127" t="s">
        <v>477</v>
      </c>
      <c r="B126" s="128" t="s">
        <v>498</v>
      </c>
      <c r="C126" s="129" t="s">
        <v>582</v>
      </c>
      <c r="D126" s="77" t="s">
        <v>1041</v>
      </c>
      <c r="E126" s="54"/>
      <c r="F126" s="63"/>
      <c r="G126" s="54"/>
      <c r="H126" s="55"/>
      <c r="I126" s="55"/>
      <c r="J126" s="55"/>
      <c r="K126" s="55"/>
      <c r="L126" s="59"/>
      <c r="M126" s="54"/>
      <c r="N126" s="63"/>
      <c r="O126" s="191"/>
      <c r="P126" s="191"/>
      <c r="Q126" s="92"/>
      <c r="R126" s="59"/>
      <c r="S126" s="54"/>
      <c r="T126" s="63"/>
      <c r="U126" s="97">
        <f t="shared" si="11"/>
        <v>0</v>
      </c>
      <c r="V126" s="56">
        <f t="shared" si="12"/>
        <v>0</v>
      </c>
    </row>
    <row r="127" spans="1:22" ht="15.75" customHeight="1">
      <c r="A127" s="127" t="s">
        <v>477</v>
      </c>
      <c r="B127" s="128" t="s">
        <v>498</v>
      </c>
      <c r="C127" s="129" t="s">
        <v>583</v>
      </c>
      <c r="D127" s="77" t="s">
        <v>1042</v>
      </c>
      <c r="E127" s="54"/>
      <c r="F127" s="63"/>
      <c r="G127" s="54"/>
      <c r="H127" s="55"/>
      <c r="I127" s="55"/>
      <c r="J127" s="55"/>
      <c r="K127" s="55"/>
      <c r="L127" s="59"/>
      <c r="M127" s="54"/>
      <c r="N127" s="63"/>
      <c r="O127" s="191"/>
      <c r="P127" s="191"/>
      <c r="Q127" s="92"/>
      <c r="R127" s="59"/>
      <c r="S127" s="54"/>
      <c r="T127" s="63"/>
      <c r="U127" s="97">
        <f t="shared" si="11"/>
        <v>0</v>
      </c>
      <c r="V127" s="56">
        <f t="shared" si="12"/>
        <v>0</v>
      </c>
    </row>
    <row r="128" spans="1:22" ht="15.75" customHeight="1">
      <c r="A128" s="127" t="s">
        <v>477</v>
      </c>
      <c r="B128" s="128" t="s">
        <v>498</v>
      </c>
      <c r="C128" s="129" t="s">
        <v>584</v>
      </c>
      <c r="D128" s="77" t="s">
        <v>1043</v>
      </c>
      <c r="E128" s="54"/>
      <c r="F128" s="63"/>
      <c r="G128" s="54"/>
      <c r="H128" s="55"/>
      <c r="I128" s="55"/>
      <c r="J128" s="55"/>
      <c r="K128" s="55"/>
      <c r="L128" s="59"/>
      <c r="M128" s="54"/>
      <c r="N128" s="63"/>
      <c r="O128" s="191"/>
      <c r="P128" s="191"/>
      <c r="Q128" s="92"/>
      <c r="R128" s="59"/>
      <c r="S128" s="54"/>
      <c r="T128" s="63"/>
      <c r="U128" s="97">
        <f t="shared" si="11"/>
        <v>0</v>
      </c>
      <c r="V128" s="56">
        <f t="shared" si="12"/>
        <v>0</v>
      </c>
    </row>
    <row r="129" spans="1:22" ht="15.75" customHeight="1">
      <c r="A129" s="127" t="s">
        <v>477</v>
      </c>
      <c r="B129" s="128" t="s">
        <v>498</v>
      </c>
      <c r="C129" s="129" t="s">
        <v>585</v>
      </c>
      <c r="D129" s="77" t="s">
        <v>1044</v>
      </c>
      <c r="E129" s="54"/>
      <c r="F129" s="63"/>
      <c r="G129" s="54"/>
      <c r="H129" s="55"/>
      <c r="I129" s="55"/>
      <c r="J129" s="55"/>
      <c r="K129" s="55"/>
      <c r="L129" s="59"/>
      <c r="M129" s="54"/>
      <c r="N129" s="63"/>
      <c r="O129" s="191"/>
      <c r="P129" s="191"/>
      <c r="Q129" s="92"/>
      <c r="R129" s="59"/>
      <c r="S129" s="54"/>
      <c r="T129" s="63"/>
      <c r="U129" s="97">
        <f t="shared" si="11"/>
        <v>0</v>
      </c>
      <c r="V129" s="56">
        <f t="shared" si="12"/>
        <v>0</v>
      </c>
    </row>
    <row r="130" spans="1:22" ht="15.75" customHeight="1">
      <c r="A130" s="127" t="s">
        <v>477</v>
      </c>
      <c r="B130" s="128" t="s">
        <v>498</v>
      </c>
      <c r="C130" s="129" t="s">
        <v>586</v>
      </c>
      <c r="D130" s="77" t="s">
        <v>1045</v>
      </c>
      <c r="E130" s="54"/>
      <c r="F130" s="63"/>
      <c r="G130" s="54"/>
      <c r="H130" s="55"/>
      <c r="I130" s="55"/>
      <c r="J130" s="55"/>
      <c r="K130" s="55"/>
      <c r="L130" s="59"/>
      <c r="M130" s="54"/>
      <c r="N130" s="63"/>
      <c r="O130" s="191"/>
      <c r="P130" s="191"/>
      <c r="Q130" s="92"/>
      <c r="R130" s="59"/>
      <c r="S130" s="54"/>
      <c r="T130" s="63"/>
      <c r="U130" s="97">
        <f t="shared" si="11"/>
        <v>0</v>
      </c>
      <c r="V130" s="56">
        <f t="shared" si="12"/>
        <v>0</v>
      </c>
    </row>
    <row r="131" spans="1:22" ht="15.75" customHeight="1">
      <c r="A131" s="127" t="s">
        <v>477</v>
      </c>
      <c r="B131" s="128" t="s">
        <v>498</v>
      </c>
      <c r="C131" s="129" t="s">
        <v>587</v>
      </c>
      <c r="D131" s="77" t="s">
        <v>1046</v>
      </c>
      <c r="E131" s="54"/>
      <c r="F131" s="63"/>
      <c r="G131" s="54"/>
      <c r="H131" s="55"/>
      <c r="I131" s="55"/>
      <c r="J131" s="55"/>
      <c r="K131" s="55"/>
      <c r="L131" s="59"/>
      <c r="M131" s="54"/>
      <c r="N131" s="63"/>
      <c r="O131" s="191"/>
      <c r="P131" s="191"/>
      <c r="Q131" s="92"/>
      <c r="R131" s="59"/>
      <c r="S131" s="54"/>
      <c r="T131" s="63"/>
      <c r="U131" s="97">
        <f t="shared" si="11"/>
        <v>0</v>
      </c>
      <c r="V131" s="56">
        <f t="shared" si="12"/>
        <v>0</v>
      </c>
    </row>
    <row r="132" spans="1:22" ht="15.75" customHeight="1">
      <c r="A132" s="127" t="s">
        <v>477</v>
      </c>
      <c r="B132" s="128" t="s">
        <v>498</v>
      </c>
      <c r="C132" s="129" t="s">
        <v>588</v>
      </c>
      <c r="D132" s="77" t="s">
        <v>1047</v>
      </c>
      <c r="E132" s="54"/>
      <c r="F132" s="63"/>
      <c r="G132" s="54"/>
      <c r="H132" s="55"/>
      <c r="I132" s="55"/>
      <c r="J132" s="55"/>
      <c r="K132" s="55"/>
      <c r="L132" s="59"/>
      <c r="M132" s="54"/>
      <c r="N132" s="63"/>
      <c r="O132" s="191"/>
      <c r="P132" s="191"/>
      <c r="Q132" s="92"/>
      <c r="R132" s="59"/>
      <c r="S132" s="54"/>
      <c r="T132" s="63"/>
      <c r="U132" s="97">
        <f t="shared" si="11"/>
        <v>0</v>
      </c>
      <c r="V132" s="56">
        <f t="shared" si="12"/>
        <v>0</v>
      </c>
    </row>
    <row r="133" spans="1:22" ht="15.75" customHeight="1">
      <c r="A133" s="127" t="s">
        <v>477</v>
      </c>
      <c r="B133" s="128" t="s">
        <v>498</v>
      </c>
      <c r="C133" s="129" t="s">
        <v>589</v>
      </c>
      <c r="D133" s="77" t="s">
        <v>1048</v>
      </c>
      <c r="E133" s="54"/>
      <c r="F133" s="63"/>
      <c r="G133" s="54"/>
      <c r="H133" s="55"/>
      <c r="I133" s="55"/>
      <c r="J133" s="55"/>
      <c r="K133" s="55"/>
      <c r="L133" s="59"/>
      <c r="M133" s="54"/>
      <c r="N133" s="63"/>
      <c r="O133" s="191"/>
      <c r="P133" s="191"/>
      <c r="Q133" s="92"/>
      <c r="R133" s="59"/>
      <c r="S133" s="54"/>
      <c r="T133" s="63"/>
      <c r="U133" s="97">
        <f t="shared" si="11"/>
        <v>0</v>
      </c>
      <c r="V133" s="56">
        <f t="shared" si="12"/>
        <v>0</v>
      </c>
    </row>
    <row r="134" spans="1:22" ht="15.75" customHeight="1">
      <c r="A134" s="127" t="s">
        <v>477</v>
      </c>
      <c r="B134" s="128" t="s">
        <v>498</v>
      </c>
      <c r="C134" s="129" t="s">
        <v>590</v>
      </c>
      <c r="D134" s="77" t="s">
        <v>1049</v>
      </c>
      <c r="E134" s="54"/>
      <c r="F134" s="63"/>
      <c r="G134" s="54"/>
      <c r="H134" s="55"/>
      <c r="I134" s="55"/>
      <c r="J134" s="55"/>
      <c r="K134" s="55"/>
      <c r="L134" s="59"/>
      <c r="M134" s="54"/>
      <c r="N134" s="63"/>
      <c r="O134" s="191"/>
      <c r="P134" s="191"/>
      <c r="Q134" s="92"/>
      <c r="R134" s="59"/>
      <c r="S134" s="54"/>
      <c r="T134" s="63"/>
      <c r="U134" s="97">
        <f t="shared" si="11"/>
        <v>0</v>
      </c>
      <c r="V134" s="56">
        <f t="shared" si="12"/>
        <v>0</v>
      </c>
    </row>
    <row r="135" spans="1:22" ht="15.75" customHeight="1">
      <c r="A135" s="127" t="s">
        <v>478</v>
      </c>
      <c r="B135" s="128" t="s">
        <v>499</v>
      </c>
      <c r="C135" s="129" t="s">
        <v>591</v>
      </c>
      <c r="D135" s="77" t="s">
        <v>1050</v>
      </c>
      <c r="E135" s="54"/>
      <c r="F135" s="63"/>
      <c r="G135" s="54"/>
      <c r="H135" s="55"/>
      <c r="I135" s="55"/>
      <c r="J135" s="55"/>
      <c r="K135" s="55"/>
      <c r="L135" s="59"/>
      <c r="M135" s="54"/>
      <c r="N135" s="63"/>
      <c r="O135" s="191"/>
      <c r="P135" s="191"/>
      <c r="Q135" s="92"/>
      <c r="R135" s="59"/>
      <c r="S135" s="54"/>
      <c r="T135" s="63"/>
      <c r="U135" s="97">
        <f t="shared" si="11"/>
        <v>0</v>
      </c>
      <c r="V135" s="56">
        <f t="shared" si="12"/>
        <v>0</v>
      </c>
    </row>
    <row r="136" spans="1:22" ht="15.75" customHeight="1">
      <c r="A136" s="127" t="s">
        <v>478</v>
      </c>
      <c r="B136" s="128" t="s">
        <v>499</v>
      </c>
      <c r="C136" s="129" t="s">
        <v>592</v>
      </c>
      <c r="D136" s="77" t="s">
        <v>1051</v>
      </c>
      <c r="E136" s="54"/>
      <c r="F136" s="63"/>
      <c r="G136" s="54"/>
      <c r="H136" s="55"/>
      <c r="I136" s="55"/>
      <c r="J136" s="55"/>
      <c r="K136" s="55"/>
      <c r="L136" s="59"/>
      <c r="M136" s="54"/>
      <c r="N136" s="63"/>
      <c r="O136" s="191"/>
      <c r="P136" s="191"/>
      <c r="Q136" s="92"/>
      <c r="R136" s="59"/>
      <c r="S136" s="54"/>
      <c r="T136" s="63"/>
      <c r="U136" s="97">
        <f t="shared" si="11"/>
        <v>0</v>
      </c>
      <c r="V136" s="56">
        <f t="shared" si="12"/>
        <v>0</v>
      </c>
    </row>
    <row r="137" spans="1:22" ht="15.75" customHeight="1">
      <c r="A137" s="127" t="s">
        <v>478</v>
      </c>
      <c r="B137" s="128" t="s">
        <v>499</v>
      </c>
      <c r="C137" s="129" t="s">
        <v>593</v>
      </c>
      <c r="D137" s="77" t="s">
        <v>1052</v>
      </c>
      <c r="E137" s="54"/>
      <c r="F137" s="63"/>
      <c r="G137" s="54"/>
      <c r="H137" s="55"/>
      <c r="I137" s="55"/>
      <c r="J137" s="55"/>
      <c r="K137" s="55"/>
      <c r="L137" s="59"/>
      <c r="M137" s="54"/>
      <c r="N137" s="63"/>
      <c r="O137" s="191"/>
      <c r="P137" s="191"/>
      <c r="Q137" s="92"/>
      <c r="R137" s="59"/>
      <c r="S137" s="54"/>
      <c r="T137" s="63"/>
      <c r="U137" s="97">
        <f t="shared" si="11"/>
        <v>0</v>
      </c>
      <c r="V137" s="56">
        <f t="shared" si="12"/>
        <v>0</v>
      </c>
    </row>
    <row r="138" spans="1:22" ht="15.75" customHeight="1">
      <c r="A138" s="127" t="s">
        <v>478</v>
      </c>
      <c r="B138" s="128" t="s">
        <v>499</v>
      </c>
      <c r="C138" s="129" t="s">
        <v>594</v>
      </c>
      <c r="D138" s="77" t="s">
        <v>1053</v>
      </c>
      <c r="E138" s="54"/>
      <c r="F138" s="63"/>
      <c r="G138" s="54"/>
      <c r="H138" s="55"/>
      <c r="I138" s="55"/>
      <c r="J138" s="55"/>
      <c r="K138" s="55"/>
      <c r="L138" s="59"/>
      <c r="M138" s="54"/>
      <c r="N138" s="63"/>
      <c r="O138" s="191"/>
      <c r="P138" s="191"/>
      <c r="Q138" s="92"/>
      <c r="R138" s="59"/>
      <c r="S138" s="54"/>
      <c r="T138" s="63"/>
      <c r="U138" s="97">
        <f t="shared" si="11"/>
        <v>0</v>
      </c>
      <c r="V138" s="56">
        <f t="shared" si="12"/>
        <v>0</v>
      </c>
    </row>
    <row r="139" spans="1:22" ht="15.75" customHeight="1">
      <c r="A139" s="127" t="s">
        <v>478</v>
      </c>
      <c r="B139" s="128" t="s">
        <v>499</v>
      </c>
      <c r="C139" s="129" t="s">
        <v>595</v>
      </c>
      <c r="D139" s="77" t="s">
        <v>1054</v>
      </c>
      <c r="E139" s="54"/>
      <c r="F139" s="63"/>
      <c r="G139" s="54"/>
      <c r="H139" s="55"/>
      <c r="I139" s="55"/>
      <c r="J139" s="55"/>
      <c r="K139" s="55"/>
      <c r="L139" s="59"/>
      <c r="M139" s="54"/>
      <c r="N139" s="63"/>
      <c r="O139" s="191"/>
      <c r="P139" s="191"/>
      <c r="Q139" s="92"/>
      <c r="R139" s="59"/>
      <c r="S139" s="54"/>
      <c r="T139" s="63"/>
      <c r="U139" s="97">
        <f t="shared" si="11"/>
        <v>0</v>
      </c>
      <c r="V139" s="56">
        <f t="shared" si="12"/>
        <v>0</v>
      </c>
    </row>
    <row r="140" spans="1:22" ht="15.75" customHeight="1">
      <c r="A140" s="127" t="s">
        <v>478</v>
      </c>
      <c r="B140" s="128" t="s">
        <v>499</v>
      </c>
      <c r="C140" s="129" t="s">
        <v>596</v>
      </c>
      <c r="D140" s="77" t="s">
        <v>1055</v>
      </c>
      <c r="E140" s="54"/>
      <c r="F140" s="63"/>
      <c r="G140" s="54"/>
      <c r="H140" s="55"/>
      <c r="I140" s="55"/>
      <c r="J140" s="55"/>
      <c r="K140" s="55"/>
      <c r="L140" s="59"/>
      <c r="M140" s="54"/>
      <c r="N140" s="63"/>
      <c r="O140" s="191"/>
      <c r="P140" s="191"/>
      <c r="Q140" s="92"/>
      <c r="R140" s="59"/>
      <c r="S140" s="54"/>
      <c r="T140" s="63"/>
      <c r="U140" s="97">
        <f t="shared" si="11"/>
        <v>0</v>
      </c>
      <c r="V140" s="56">
        <f t="shared" si="12"/>
        <v>0</v>
      </c>
    </row>
    <row r="141" spans="1:22" ht="15.75" customHeight="1">
      <c r="A141" s="127" t="s">
        <v>478</v>
      </c>
      <c r="B141" s="128" t="s">
        <v>499</v>
      </c>
      <c r="C141" s="129" t="s">
        <v>597</v>
      </c>
      <c r="D141" s="77" t="s">
        <v>1056</v>
      </c>
      <c r="E141" s="54"/>
      <c r="F141" s="63"/>
      <c r="G141" s="54"/>
      <c r="H141" s="55"/>
      <c r="I141" s="55"/>
      <c r="J141" s="55"/>
      <c r="K141" s="55"/>
      <c r="L141" s="59"/>
      <c r="M141" s="54"/>
      <c r="N141" s="63"/>
      <c r="O141" s="191"/>
      <c r="P141" s="191"/>
      <c r="Q141" s="92"/>
      <c r="R141" s="59"/>
      <c r="S141" s="54"/>
      <c r="T141" s="63"/>
      <c r="U141" s="97">
        <f t="shared" si="11"/>
        <v>0</v>
      </c>
      <c r="V141" s="56">
        <f t="shared" si="12"/>
        <v>0</v>
      </c>
    </row>
    <row r="142" spans="1:22" ht="15.75" customHeight="1">
      <c r="A142" s="127" t="s">
        <v>478</v>
      </c>
      <c r="B142" s="128" t="s">
        <v>255</v>
      </c>
      <c r="C142" s="129" t="s">
        <v>598</v>
      </c>
      <c r="D142" s="77" t="s">
        <v>1057</v>
      </c>
      <c r="E142" s="54"/>
      <c r="F142" s="63"/>
      <c r="G142" s="54"/>
      <c r="H142" s="55"/>
      <c r="I142" s="55"/>
      <c r="J142" s="55"/>
      <c r="K142" s="55"/>
      <c r="L142" s="59"/>
      <c r="M142" s="54"/>
      <c r="N142" s="63"/>
      <c r="O142" s="191"/>
      <c r="P142" s="191"/>
      <c r="Q142" s="92"/>
      <c r="R142" s="59"/>
      <c r="S142" s="54"/>
      <c r="T142" s="63"/>
      <c r="U142" s="97">
        <f t="shared" si="11"/>
        <v>0</v>
      </c>
      <c r="V142" s="56">
        <f t="shared" si="12"/>
        <v>0</v>
      </c>
    </row>
    <row r="143" spans="1:22" ht="15.75" customHeight="1">
      <c r="A143" s="127" t="s">
        <v>478</v>
      </c>
      <c r="B143" s="128" t="s">
        <v>255</v>
      </c>
      <c r="C143" s="129" t="s">
        <v>599</v>
      </c>
      <c r="D143" s="77" t="s">
        <v>1058</v>
      </c>
      <c r="E143" s="54"/>
      <c r="F143" s="63"/>
      <c r="G143" s="54"/>
      <c r="H143" s="55"/>
      <c r="I143" s="55"/>
      <c r="J143" s="55"/>
      <c r="K143" s="55"/>
      <c r="L143" s="59"/>
      <c r="M143" s="54"/>
      <c r="N143" s="63"/>
      <c r="O143" s="191"/>
      <c r="P143" s="191"/>
      <c r="Q143" s="92"/>
      <c r="R143" s="59"/>
      <c r="S143" s="54"/>
      <c r="T143" s="63"/>
      <c r="U143" s="97">
        <f t="shared" si="11"/>
        <v>0</v>
      </c>
      <c r="V143" s="56">
        <f t="shared" si="12"/>
        <v>0</v>
      </c>
    </row>
    <row r="144" spans="1:22" ht="15.75" customHeight="1">
      <c r="A144" s="127" t="s">
        <v>478</v>
      </c>
      <c r="B144" s="128" t="s">
        <v>255</v>
      </c>
      <c r="C144" s="129" t="s">
        <v>600</v>
      </c>
      <c r="D144" s="77" t="s">
        <v>1059</v>
      </c>
      <c r="E144" s="54"/>
      <c r="F144" s="63"/>
      <c r="G144" s="54"/>
      <c r="H144" s="55"/>
      <c r="I144" s="55"/>
      <c r="J144" s="55"/>
      <c r="K144" s="55"/>
      <c r="L144" s="59"/>
      <c r="M144" s="54"/>
      <c r="N144" s="63"/>
      <c r="O144" s="191"/>
      <c r="P144" s="191"/>
      <c r="Q144" s="92"/>
      <c r="R144" s="59"/>
      <c r="S144" s="54"/>
      <c r="T144" s="63"/>
      <c r="U144" s="97">
        <f t="shared" si="11"/>
        <v>0</v>
      </c>
      <c r="V144" s="56">
        <f t="shared" si="12"/>
        <v>0</v>
      </c>
    </row>
    <row r="145" spans="1:22" ht="15.75" customHeight="1">
      <c r="A145" s="127" t="s">
        <v>478</v>
      </c>
      <c r="B145" s="128" t="s">
        <v>255</v>
      </c>
      <c r="C145" s="129" t="s">
        <v>601</v>
      </c>
      <c r="D145" s="77" t="s">
        <v>1060</v>
      </c>
      <c r="E145" s="54"/>
      <c r="F145" s="63"/>
      <c r="G145" s="54"/>
      <c r="H145" s="55"/>
      <c r="I145" s="55"/>
      <c r="J145" s="55"/>
      <c r="K145" s="55"/>
      <c r="L145" s="59"/>
      <c r="M145" s="54"/>
      <c r="N145" s="63"/>
      <c r="O145" s="191"/>
      <c r="P145" s="191"/>
      <c r="Q145" s="92"/>
      <c r="R145" s="59"/>
      <c r="S145" s="54"/>
      <c r="T145" s="63"/>
      <c r="U145" s="97">
        <f t="shared" si="11"/>
        <v>0</v>
      </c>
      <c r="V145" s="56">
        <f t="shared" si="12"/>
        <v>0</v>
      </c>
    </row>
    <row r="146" spans="1:22" ht="15.75" customHeight="1">
      <c r="A146" s="127" t="s">
        <v>478</v>
      </c>
      <c r="B146" s="128" t="s">
        <v>500</v>
      </c>
      <c r="C146" s="129" t="s">
        <v>602</v>
      </c>
      <c r="D146" s="77" t="s">
        <v>1061</v>
      </c>
      <c r="E146" s="54"/>
      <c r="F146" s="63"/>
      <c r="G146" s="54"/>
      <c r="H146" s="55"/>
      <c r="I146" s="55"/>
      <c r="J146" s="55"/>
      <c r="K146" s="55"/>
      <c r="L146" s="59"/>
      <c r="M146" s="54"/>
      <c r="N146" s="63"/>
      <c r="O146" s="191"/>
      <c r="P146" s="191"/>
      <c r="Q146" s="92"/>
      <c r="R146" s="59"/>
      <c r="S146" s="54"/>
      <c r="T146" s="63"/>
      <c r="U146" s="97">
        <f t="shared" si="11"/>
        <v>0</v>
      </c>
      <c r="V146" s="56">
        <f t="shared" si="12"/>
        <v>0</v>
      </c>
    </row>
    <row r="147" spans="1:22" ht="15.75" customHeight="1">
      <c r="A147" s="127" t="s">
        <v>478</v>
      </c>
      <c r="B147" s="128" t="s">
        <v>500</v>
      </c>
      <c r="C147" s="129" t="s">
        <v>603</v>
      </c>
      <c r="D147" s="77" t="s">
        <v>1062</v>
      </c>
      <c r="E147" s="54"/>
      <c r="F147" s="63"/>
      <c r="G147" s="54"/>
      <c r="H147" s="55"/>
      <c r="I147" s="55"/>
      <c r="J147" s="55"/>
      <c r="K147" s="55"/>
      <c r="L147" s="59"/>
      <c r="M147" s="54"/>
      <c r="N147" s="63"/>
      <c r="O147" s="191"/>
      <c r="P147" s="191"/>
      <c r="Q147" s="92"/>
      <c r="R147" s="59"/>
      <c r="S147" s="54"/>
      <c r="T147" s="63"/>
      <c r="U147" s="97">
        <f t="shared" si="11"/>
        <v>0</v>
      </c>
      <c r="V147" s="56">
        <f t="shared" si="12"/>
        <v>0</v>
      </c>
    </row>
    <row r="148" spans="1:22" ht="15.75" customHeight="1">
      <c r="A148" s="127" t="s">
        <v>478</v>
      </c>
      <c r="B148" s="128" t="s">
        <v>500</v>
      </c>
      <c r="C148" s="129" t="s">
        <v>604</v>
      </c>
      <c r="D148" s="77" t="s">
        <v>1063</v>
      </c>
      <c r="E148" s="54"/>
      <c r="F148" s="63"/>
      <c r="G148" s="54"/>
      <c r="H148" s="55"/>
      <c r="I148" s="55"/>
      <c r="J148" s="55"/>
      <c r="K148" s="55"/>
      <c r="L148" s="59"/>
      <c r="M148" s="54"/>
      <c r="N148" s="63"/>
      <c r="O148" s="191"/>
      <c r="P148" s="191"/>
      <c r="Q148" s="92"/>
      <c r="R148" s="59"/>
      <c r="S148" s="54"/>
      <c r="T148" s="63"/>
      <c r="U148" s="97">
        <f t="shared" si="11"/>
        <v>0</v>
      </c>
      <c r="V148" s="56">
        <f t="shared" si="12"/>
        <v>0</v>
      </c>
    </row>
    <row r="149" spans="1:22" ht="15.75" customHeight="1">
      <c r="A149" s="127" t="s">
        <v>478</v>
      </c>
      <c r="B149" s="128" t="s">
        <v>500</v>
      </c>
      <c r="C149" s="129" t="s">
        <v>605</v>
      </c>
      <c r="D149" s="77" t="s">
        <v>1064</v>
      </c>
      <c r="E149" s="54"/>
      <c r="F149" s="63"/>
      <c r="G149" s="54"/>
      <c r="H149" s="55"/>
      <c r="I149" s="55"/>
      <c r="J149" s="55"/>
      <c r="K149" s="55"/>
      <c r="L149" s="59"/>
      <c r="M149" s="54"/>
      <c r="N149" s="63"/>
      <c r="O149" s="191"/>
      <c r="P149" s="191"/>
      <c r="Q149" s="92"/>
      <c r="R149" s="59"/>
      <c r="S149" s="54"/>
      <c r="T149" s="63"/>
      <c r="U149" s="97">
        <f t="shared" si="11"/>
        <v>0</v>
      </c>
      <c r="V149" s="56">
        <f t="shared" si="12"/>
        <v>0</v>
      </c>
    </row>
    <row r="150" spans="1:22" ht="15.75" customHeight="1">
      <c r="A150" s="127" t="s">
        <v>478</v>
      </c>
      <c r="B150" s="128" t="s">
        <v>500</v>
      </c>
      <c r="C150" s="129" t="s">
        <v>606</v>
      </c>
      <c r="D150" s="77" t="s">
        <v>1065</v>
      </c>
      <c r="E150" s="54"/>
      <c r="F150" s="63"/>
      <c r="G150" s="54"/>
      <c r="H150" s="55"/>
      <c r="I150" s="55"/>
      <c r="J150" s="55"/>
      <c r="K150" s="55"/>
      <c r="L150" s="59"/>
      <c r="M150" s="54"/>
      <c r="N150" s="63"/>
      <c r="O150" s="191"/>
      <c r="P150" s="191"/>
      <c r="Q150" s="92"/>
      <c r="R150" s="59"/>
      <c r="S150" s="54"/>
      <c r="T150" s="63"/>
      <c r="U150" s="97">
        <f t="shared" si="11"/>
        <v>0</v>
      </c>
      <c r="V150" s="56">
        <f t="shared" si="12"/>
        <v>0</v>
      </c>
    </row>
    <row r="151" spans="1:22" ht="15.75" customHeight="1">
      <c r="A151" s="127" t="s">
        <v>478</v>
      </c>
      <c r="B151" s="128" t="s">
        <v>500</v>
      </c>
      <c r="C151" s="129" t="s">
        <v>607</v>
      </c>
      <c r="D151" s="77" t="s">
        <v>1066</v>
      </c>
      <c r="E151" s="54"/>
      <c r="F151" s="63"/>
      <c r="G151" s="54"/>
      <c r="H151" s="55"/>
      <c r="I151" s="55"/>
      <c r="J151" s="55"/>
      <c r="K151" s="55"/>
      <c r="L151" s="59"/>
      <c r="M151" s="54"/>
      <c r="N151" s="63"/>
      <c r="O151" s="191"/>
      <c r="P151" s="191"/>
      <c r="Q151" s="92"/>
      <c r="R151" s="59"/>
      <c r="S151" s="54"/>
      <c r="T151" s="63"/>
      <c r="U151" s="97">
        <f t="shared" si="11"/>
        <v>0</v>
      </c>
      <c r="V151" s="56">
        <f t="shared" si="12"/>
        <v>0</v>
      </c>
    </row>
    <row r="152" spans="1:22" ht="15.75" customHeight="1">
      <c r="A152" s="127" t="s">
        <v>478</v>
      </c>
      <c r="B152" s="128" t="s">
        <v>500</v>
      </c>
      <c r="C152" s="129" t="s">
        <v>608</v>
      </c>
      <c r="D152" s="77" t="s">
        <v>1067</v>
      </c>
      <c r="E152" s="54"/>
      <c r="F152" s="63"/>
      <c r="G152" s="54"/>
      <c r="H152" s="55"/>
      <c r="I152" s="55"/>
      <c r="J152" s="55"/>
      <c r="K152" s="55"/>
      <c r="L152" s="59"/>
      <c r="M152" s="54"/>
      <c r="N152" s="63"/>
      <c r="O152" s="191"/>
      <c r="P152" s="191"/>
      <c r="Q152" s="92"/>
      <c r="R152" s="59"/>
      <c r="S152" s="54"/>
      <c r="T152" s="63"/>
      <c r="U152" s="97">
        <f t="shared" si="11"/>
        <v>0</v>
      </c>
      <c r="V152" s="56">
        <f t="shared" si="12"/>
        <v>0</v>
      </c>
    </row>
    <row r="153" spans="1:22" s="147" customFormat="1" ht="15.75" customHeight="1">
      <c r="A153" s="136" t="s">
        <v>479</v>
      </c>
      <c r="B153" s="137" t="s">
        <v>501</v>
      </c>
      <c r="C153" s="138" t="s">
        <v>609</v>
      </c>
      <c r="D153" s="139" t="s">
        <v>1068</v>
      </c>
      <c r="E153" s="140"/>
      <c r="F153" s="141"/>
      <c r="G153" s="140"/>
      <c r="H153" s="142"/>
      <c r="I153" s="142"/>
      <c r="J153" s="142"/>
      <c r="K153" s="142"/>
      <c r="L153" s="143"/>
      <c r="M153" s="140"/>
      <c r="N153" s="141"/>
      <c r="O153" s="192"/>
      <c r="P153" s="192"/>
      <c r="Q153" s="144"/>
      <c r="R153" s="143"/>
      <c r="S153" s="140"/>
      <c r="T153" s="141"/>
      <c r="U153" s="145">
        <f t="shared" si="11"/>
        <v>0</v>
      </c>
      <c r="V153" s="146">
        <f t="shared" si="12"/>
        <v>0</v>
      </c>
    </row>
    <row r="154" spans="1:22" ht="15.75" customHeight="1">
      <c r="A154" s="127" t="s">
        <v>479</v>
      </c>
      <c r="B154" s="128" t="s">
        <v>501</v>
      </c>
      <c r="C154" s="129" t="s">
        <v>610</v>
      </c>
      <c r="D154" s="77" t="s">
        <v>1069</v>
      </c>
      <c r="E154" s="54"/>
      <c r="F154" s="63"/>
      <c r="G154" s="54"/>
      <c r="H154" s="55"/>
      <c r="I154" s="55"/>
      <c r="J154" s="55"/>
      <c r="K154" s="55"/>
      <c r="L154" s="59"/>
      <c r="M154" s="54"/>
      <c r="N154" s="63"/>
      <c r="O154" s="191"/>
      <c r="P154" s="191"/>
      <c r="Q154" s="92"/>
      <c r="R154" s="59"/>
      <c r="S154" s="54"/>
      <c r="T154" s="63"/>
      <c r="U154" s="97">
        <f t="shared" si="11"/>
        <v>0</v>
      </c>
      <c r="V154" s="56">
        <f t="shared" si="12"/>
        <v>0</v>
      </c>
    </row>
    <row r="155" spans="1:22" ht="15.75" customHeight="1">
      <c r="A155" s="127" t="s">
        <v>479</v>
      </c>
      <c r="B155" s="128" t="s">
        <v>501</v>
      </c>
      <c r="C155" s="129" t="s">
        <v>1330</v>
      </c>
      <c r="D155" s="77" t="s">
        <v>1331</v>
      </c>
      <c r="E155" s="54"/>
      <c r="F155" s="63"/>
      <c r="G155" s="54"/>
      <c r="H155" s="55"/>
      <c r="I155" s="55"/>
      <c r="J155" s="55"/>
      <c r="K155" s="55"/>
      <c r="L155" s="59"/>
      <c r="M155" s="54"/>
      <c r="N155" s="63"/>
      <c r="O155" s="191"/>
      <c r="P155" s="191"/>
      <c r="Q155" s="92"/>
      <c r="R155" s="59"/>
      <c r="S155" s="54"/>
      <c r="T155" s="63"/>
      <c r="U155" s="97"/>
      <c r="V155" s="56"/>
    </row>
    <row r="156" spans="1:22" ht="15.75" customHeight="1">
      <c r="A156" s="127" t="s">
        <v>479</v>
      </c>
      <c r="B156" s="128" t="s">
        <v>501</v>
      </c>
      <c r="C156" s="129" t="s">
        <v>1332</v>
      </c>
      <c r="D156" s="77" t="s">
        <v>1333</v>
      </c>
      <c r="E156" s="54"/>
      <c r="F156" s="63"/>
      <c r="G156" s="54"/>
      <c r="H156" s="55"/>
      <c r="I156" s="55"/>
      <c r="J156" s="55"/>
      <c r="K156" s="55"/>
      <c r="L156" s="59"/>
      <c r="M156" s="54"/>
      <c r="N156" s="63"/>
      <c r="O156" s="191"/>
      <c r="P156" s="191"/>
      <c r="Q156" s="92"/>
      <c r="R156" s="59"/>
      <c r="S156" s="54"/>
      <c r="T156" s="63"/>
      <c r="U156" s="97"/>
      <c r="V156" s="56"/>
    </row>
    <row r="157" spans="1:22" ht="16.5" customHeight="1">
      <c r="A157" s="127" t="s">
        <v>479</v>
      </c>
      <c r="B157" s="128" t="s">
        <v>502</v>
      </c>
      <c r="C157" s="129" t="s">
        <v>611</v>
      </c>
      <c r="D157" s="77" t="s">
        <v>1070</v>
      </c>
      <c r="E157" s="54"/>
      <c r="F157" s="63"/>
      <c r="G157" s="54"/>
      <c r="H157" s="55"/>
      <c r="I157" s="55"/>
      <c r="J157" s="55"/>
      <c r="K157" s="55"/>
      <c r="L157" s="59"/>
      <c r="M157" s="54"/>
      <c r="N157" s="63"/>
      <c r="O157" s="191"/>
      <c r="P157" s="191"/>
      <c r="Q157" s="92"/>
      <c r="R157" s="59"/>
      <c r="S157" s="54"/>
      <c r="T157" s="63"/>
      <c r="U157" s="97">
        <f t="shared" ref="U157:U168" si="13">M157+Q157+S157</f>
        <v>0</v>
      </c>
      <c r="V157" s="56">
        <f t="shared" ref="V157:V168" si="14">N157+R157+T157</f>
        <v>0</v>
      </c>
    </row>
    <row r="158" spans="1:22" ht="18" customHeight="1">
      <c r="A158" s="127" t="s">
        <v>479</v>
      </c>
      <c r="B158" s="128" t="s">
        <v>502</v>
      </c>
      <c r="C158" s="129" t="s">
        <v>612</v>
      </c>
      <c r="D158" s="77" t="s">
        <v>1071</v>
      </c>
      <c r="E158" s="54"/>
      <c r="F158" s="63"/>
      <c r="G158" s="54"/>
      <c r="H158" s="55"/>
      <c r="I158" s="55"/>
      <c r="J158" s="55"/>
      <c r="K158" s="55"/>
      <c r="L158" s="59"/>
      <c r="M158" s="54"/>
      <c r="N158" s="63"/>
      <c r="O158" s="191"/>
      <c r="P158" s="191"/>
      <c r="Q158" s="92"/>
      <c r="R158" s="59"/>
      <c r="S158" s="54"/>
      <c r="T158" s="63"/>
      <c r="U158" s="97">
        <f t="shared" si="13"/>
        <v>0</v>
      </c>
      <c r="V158" s="56">
        <f t="shared" si="14"/>
        <v>0</v>
      </c>
    </row>
    <row r="159" spans="1:22" ht="14.25" customHeight="1">
      <c r="A159" s="19" t="s">
        <v>479</v>
      </c>
      <c r="B159" s="20" t="s">
        <v>503</v>
      </c>
      <c r="C159" s="72" t="s">
        <v>503</v>
      </c>
      <c r="D159" s="77" t="s">
        <v>1072</v>
      </c>
      <c r="E159" s="54"/>
      <c r="F159" s="63"/>
      <c r="G159" s="54"/>
      <c r="H159" s="55"/>
      <c r="I159" s="55"/>
      <c r="J159" s="55"/>
      <c r="K159" s="55"/>
      <c r="L159" s="59"/>
      <c r="M159" s="54"/>
      <c r="N159" s="63"/>
      <c r="O159" s="191"/>
      <c r="P159" s="191"/>
      <c r="Q159" s="92"/>
      <c r="R159" s="59"/>
      <c r="S159" s="54"/>
      <c r="T159" s="63"/>
      <c r="U159" s="97">
        <f t="shared" si="13"/>
        <v>0</v>
      </c>
      <c r="V159" s="56">
        <f t="shared" si="14"/>
        <v>0</v>
      </c>
    </row>
    <row r="160" spans="1:22" ht="11.25" customHeight="1">
      <c r="A160" s="19" t="s">
        <v>479</v>
      </c>
      <c r="B160" s="20" t="s">
        <v>504</v>
      </c>
      <c r="C160" s="72" t="s">
        <v>613</v>
      </c>
      <c r="D160" s="77" t="s">
        <v>1073</v>
      </c>
      <c r="E160" s="54"/>
      <c r="F160" s="63"/>
      <c r="G160" s="54"/>
      <c r="H160" s="55"/>
      <c r="I160" s="55"/>
      <c r="J160" s="55"/>
      <c r="K160" s="55"/>
      <c r="L160" s="59"/>
      <c r="M160" s="54"/>
      <c r="N160" s="63"/>
      <c r="O160" s="191"/>
      <c r="P160" s="191"/>
      <c r="Q160" s="92"/>
      <c r="R160" s="59"/>
      <c r="S160" s="54"/>
      <c r="T160" s="63"/>
      <c r="U160" s="97">
        <f t="shared" si="13"/>
        <v>0</v>
      </c>
      <c r="V160" s="56">
        <f t="shared" si="14"/>
        <v>0</v>
      </c>
    </row>
    <row r="161" spans="1:22" ht="12.75" customHeight="1">
      <c r="A161" s="19" t="s">
        <v>479</v>
      </c>
      <c r="B161" s="20" t="s">
        <v>504</v>
      </c>
      <c r="C161" s="72" t="s">
        <v>614</v>
      </c>
      <c r="D161" s="77" t="s">
        <v>1074</v>
      </c>
      <c r="E161" s="54"/>
      <c r="F161" s="63"/>
      <c r="G161" s="54"/>
      <c r="H161" s="55"/>
      <c r="I161" s="55"/>
      <c r="J161" s="55"/>
      <c r="K161" s="55"/>
      <c r="L161" s="59"/>
      <c r="M161" s="54"/>
      <c r="N161" s="63"/>
      <c r="O161" s="191"/>
      <c r="P161" s="191"/>
      <c r="Q161" s="92"/>
      <c r="R161" s="59"/>
      <c r="S161" s="54"/>
      <c r="T161" s="63"/>
      <c r="U161" s="97">
        <f t="shared" si="13"/>
        <v>0</v>
      </c>
      <c r="V161" s="56">
        <f t="shared" si="14"/>
        <v>0</v>
      </c>
    </row>
    <row r="162" spans="1:22" ht="19.5" customHeight="1">
      <c r="A162" s="19" t="s">
        <v>479</v>
      </c>
      <c r="B162" s="20" t="s">
        <v>504</v>
      </c>
      <c r="C162" s="72" t="s">
        <v>615</v>
      </c>
      <c r="D162" s="77" t="s">
        <v>1075</v>
      </c>
      <c r="E162" s="54"/>
      <c r="F162" s="63"/>
      <c r="G162" s="54"/>
      <c r="H162" s="55"/>
      <c r="I162" s="55"/>
      <c r="J162" s="55"/>
      <c r="K162" s="55"/>
      <c r="L162" s="59"/>
      <c r="M162" s="54"/>
      <c r="N162" s="63"/>
      <c r="O162" s="191"/>
      <c r="P162" s="191"/>
      <c r="Q162" s="92"/>
      <c r="R162" s="59"/>
      <c r="S162" s="54"/>
      <c r="T162" s="63"/>
      <c r="U162" s="97">
        <f t="shared" si="13"/>
        <v>0</v>
      </c>
      <c r="V162" s="56">
        <f t="shared" si="14"/>
        <v>0</v>
      </c>
    </row>
    <row r="163" spans="1:22" ht="18" customHeight="1">
      <c r="A163" s="19" t="s">
        <v>479</v>
      </c>
      <c r="B163" s="20" t="s">
        <v>504</v>
      </c>
      <c r="C163" s="72" t="s">
        <v>616</v>
      </c>
      <c r="D163" s="77" t="s">
        <v>1076</v>
      </c>
      <c r="E163" s="54"/>
      <c r="F163" s="63"/>
      <c r="G163" s="54"/>
      <c r="H163" s="55"/>
      <c r="I163" s="55"/>
      <c r="J163" s="55"/>
      <c r="K163" s="55"/>
      <c r="L163" s="59"/>
      <c r="M163" s="54"/>
      <c r="N163" s="63"/>
      <c r="O163" s="191"/>
      <c r="P163" s="191"/>
      <c r="Q163" s="92"/>
      <c r="R163" s="59"/>
      <c r="S163" s="54"/>
      <c r="T163" s="63"/>
      <c r="U163" s="97">
        <f t="shared" si="13"/>
        <v>0</v>
      </c>
      <c r="V163" s="56">
        <f t="shared" si="14"/>
        <v>0</v>
      </c>
    </row>
    <row r="164" spans="1:22" ht="12" customHeight="1">
      <c r="A164" s="19" t="s">
        <v>479</v>
      </c>
      <c r="B164" s="20" t="s">
        <v>505</v>
      </c>
      <c r="C164" s="72" t="s">
        <v>617</v>
      </c>
      <c r="D164" s="77" t="s">
        <v>1077</v>
      </c>
      <c r="E164" s="54"/>
      <c r="F164" s="63"/>
      <c r="G164" s="54"/>
      <c r="H164" s="55"/>
      <c r="I164" s="55"/>
      <c r="J164" s="55"/>
      <c r="K164" s="55"/>
      <c r="L164" s="59"/>
      <c r="M164" s="54"/>
      <c r="N164" s="63"/>
      <c r="O164" s="191"/>
      <c r="P164" s="191"/>
      <c r="Q164" s="92"/>
      <c r="R164" s="59"/>
      <c r="S164" s="54"/>
      <c r="T164" s="63"/>
      <c r="U164" s="97">
        <f t="shared" si="13"/>
        <v>0</v>
      </c>
      <c r="V164" s="56">
        <f t="shared" si="14"/>
        <v>0</v>
      </c>
    </row>
    <row r="165" spans="1:22" ht="9" customHeight="1">
      <c r="A165" s="19" t="s">
        <v>479</v>
      </c>
      <c r="B165" s="20" t="s">
        <v>505</v>
      </c>
      <c r="C165" s="72" t="s">
        <v>618</v>
      </c>
      <c r="D165" s="77" t="s">
        <v>1078</v>
      </c>
      <c r="E165" s="54"/>
      <c r="F165" s="63"/>
      <c r="G165" s="54"/>
      <c r="H165" s="55"/>
      <c r="I165" s="55"/>
      <c r="J165" s="55"/>
      <c r="K165" s="55"/>
      <c r="L165" s="59"/>
      <c r="M165" s="54"/>
      <c r="N165" s="63"/>
      <c r="O165" s="191"/>
      <c r="P165" s="191"/>
      <c r="Q165" s="92"/>
      <c r="R165" s="59"/>
      <c r="S165" s="54"/>
      <c r="T165" s="63"/>
      <c r="U165" s="97">
        <f t="shared" si="13"/>
        <v>0</v>
      </c>
      <c r="V165" s="56">
        <f t="shared" si="14"/>
        <v>0</v>
      </c>
    </row>
    <row r="166" spans="1:22" ht="21.75" customHeight="1">
      <c r="A166" s="19" t="s">
        <v>479</v>
      </c>
      <c r="B166" s="20" t="s">
        <v>505</v>
      </c>
      <c r="C166" s="72" t="s">
        <v>619</v>
      </c>
      <c r="D166" s="77" t="s">
        <v>1079</v>
      </c>
      <c r="E166" s="54"/>
      <c r="F166" s="63"/>
      <c r="G166" s="54"/>
      <c r="H166" s="55"/>
      <c r="I166" s="55"/>
      <c r="J166" s="55"/>
      <c r="K166" s="55"/>
      <c r="L166" s="59"/>
      <c r="M166" s="54"/>
      <c r="N166" s="63"/>
      <c r="O166" s="191"/>
      <c r="P166" s="191"/>
      <c r="Q166" s="92"/>
      <c r="R166" s="59"/>
      <c r="S166" s="54"/>
      <c r="T166" s="63"/>
      <c r="U166" s="97">
        <f t="shared" si="13"/>
        <v>0</v>
      </c>
      <c r="V166" s="56">
        <f t="shared" si="14"/>
        <v>0</v>
      </c>
    </row>
    <row r="167" spans="1:22" ht="21" customHeight="1">
      <c r="A167" s="19" t="s">
        <v>479</v>
      </c>
      <c r="B167" s="20" t="s">
        <v>505</v>
      </c>
      <c r="C167" s="72" t="s">
        <v>620</v>
      </c>
      <c r="D167" s="77" t="s">
        <v>1080</v>
      </c>
      <c r="E167" s="54"/>
      <c r="F167" s="63"/>
      <c r="G167" s="54"/>
      <c r="H167" s="55"/>
      <c r="I167" s="55"/>
      <c r="J167" s="55"/>
      <c r="K167" s="55"/>
      <c r="L167" s="59"/>
      <c r="M167" s="54"/>
      <c r="N167" s="63"/>
      <c r="O167" s="191"/>
      <c r="P167" s="191"/>
      <c r="Q167" s="92"/>
      <c r="R167" s="59"/>
      <c r="S167" s="54"/>
      <c r="T167" s="63"/>
      <c r="U167" s="97">
        <f t="shared" si="13"/>
        <v>0</v>
      </c>
      <c r="V167" s="56">
        <f t="shared" si="14"/>
        <v>0</v>
      </c>
    </row>
    <row r="168" spans="1:22" ht="11.25" customHeight="1" thickBot="1">
      <c r="A168" s="73" t="s">
        <v>479</v>
      </c>
      <c r="B168" s="74" t="s">
        <v>505</v>
      </c>
      <c r="C168" s="75" t="s">
        <v>479</v>
      </c>
      <c r="D168" s="78" t="s">
        <v>1081</v>
      </c>
      <c r="E168" s="54"/>
      <c r="F168" s="63"/>
      <c r="G168" s="54"/>
      <c r="H168" s="55"/>
      <c r="I168" s="55"/>
      <c r="J168" s="55"/>
      <c r="K168" s="55"/>
      <c r="L168" s="59"/>
      <c r="M168" s="88"/>
      <c r="N168" s="89"/>
      <c r="O168" s="193"/>
      <c r="P168" s="193"/>
      <c r="Q168" s="93"/>
      <c r="R168" s="95"/>
      <c r="S168" s="88"/>
      <c r="T168" s="89"/>
      <c r="U168" s="97">
        <f t="shared" si="13"/>
        <v>0</v>
      </c>
      <c r="V168" s="56">
        <f t="shared" si="14"/>
        <v>0</v>
      </c>
    </row>
    <row r="169" spans="1:22" ht="33.75" customHeight="1" thickBot="1">
      <c r="A169" s="320" t="s">
        <v>20</v>
      </c>
      <c r="B169" s="321"/>
      <c r="C169" s="321"/>
      <c r="D169" s="322"/>
      <c r="E169" s="62">
        <f t="shared" ref="E169:L169" si="15">SUM(E8:E168)</f>
        <v>52437</v>
      </c>
      <c r="F169" s="58">
        <f t="shared" si="15"/>
        <v>199162</v>
      </c>
      <c r="G169" s="62">
        <f t="shared" si="15"/>
        <v>63075</v>
      </c>
      <c r="H169" s="57">
        <f t="shared" si="15"/>
        <v>204959</v>
      </c>
      <c r="I169" s="57">
        <f t="shared" si="15"/>
        <v>30128</v>
      </c>
      <c r="J169" s="57">
        <f t="shared" si="15"/>
        <v>129275.981248</v>
      </c>
      <c r="K169" s="57">
        <f t="shared" si="15"/>
        <v>57031</v>
      </c>
      <c r="L169" s="60">
        <f t="shared" si="15"/>
        <v>212552.04753921099</v>
      </c>
      <c r="M169" s="84"/>
      <c r="N169" s="85"/>
      <c r="O169" s="194"/>
      <c r="P169" s="194"/>
      <c r="Q169" s="84"/>
      <c r="R169" s="85"/>
      <c r="S169" s="84"/>
      <c r="T169" s="85"/>
      <c r="U169" s="81">
        <f>SUM(U8:U168)</f>
        <v>70763</v>
      </c>
      <c r="V169" s="58">
        <f>SUM(V8:V168)</f>
        <v>266993</v>
      </c>
    </row>
    <row r="171" spans="1:22">
      <c r="V171" s="200"/>
    </row>
    <row r="172" spans="1:22">
      <c r="V172" s="200"/>
    </row>
  </sheetData>
  <autoFilter ref="A7:V169"/>
  <mergeCells count="20">
    <mergeCell ref="A1:V1"/>
    <mergeCell ref="A2:V2"/>
    <mergeCell ref="A3:V3"/>
    <mergeCell ref="A4:D4"/>
    <mergeCell ref="T4:V4"/>
    <mergeCell ref="A169:D169"/>
    <mergeCell ref="U5:V6"/>
    <mergeCell ref="E6:F6"/>
    <mergeCell ref="G6:H6"/>
    <mergeCell ref="I6:J6"/>
    <mergeCell ref="K6:L6"/>
    <mergeCell ref="M6:N6"/>
    <mergeCell ref="Q6:R6"/>
    <mergeCell ref="S6:T6"/>
    <mergeCell ref="A5:C6"/>
    <mergeCell ref="D5:D7"/>
    <mergeCell ref="E5:F5"/>
    <mergeCell ref="G5:L5"/>
    <mergeCell ref="M5:T5"/>
    <mergeCell ref="O6:P6"/>
  </mergeCells>
  <printOptions horizontalCentered="1"/>
  <pageMargins left="0" right="0" top="0" bottom="0" header="0" footer="0"/>
  <pageSetup paperSize="9" scale="4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4659260841701"/>
    <pageSetUpPr fitToPage="1"/>
  </sheetPr>
  <dimension ref="A1:V54"/>
  <sheetViews>
    <sheetView rightToLeft="1" topLeftCell="E46" zoomScale="115" zoomScaleNormal="115" zoomScaleSheetLayoutView="55" workbookViewId="0">
      <selection activeCell="F12" sqref="F12"/>
    </sheetView>
  </sheetViews>
  <sheetFormatPr defaultColWidth="9" defaultRowHeight="12.75"/>
  <cols>
    <col min="1" max="1" width="15.42578125" style="21" customWidth="1"/>
    <col min="2" max="2" width="15.42578125" style="23" customWidth="1"/>
    <col min="3" max="3" width="24.42578125" style="21" bestFit="1" customWidth="1"/>
    <col min="4" max="4" width="9" style="15" customWidth="1"/>
    <col min="5" max="6" width="10.140625" style="15" customWidth="1"/>
    <col min="7" max="18" width="9" style="15"/>
    <col min="19" max="19" width="10.85546875" style="15" bestFit="1" customWidth="1"/>
    <col min="20" max="20" width="9" style="15"/>
    <col min="21" max="21" width="14" style="15" bestFit="1" customWidth="1"/>
    <col min="22" max="16384" width="9" style="15"/>
  </cols>
  <sheetData>
    <row r="1" spans="1:22" s="53" customFormat="1" ht="15.75">
      <c r="A1" s="307" t="s">
        <v>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s="53" customFormat="1" ht="15.75">
      <c r="A2" s="307" t="s">
        <v>31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s="53" customFormat="1" ht="15.75">
      <c r="A3" s="307" t="s">
        <v>1263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s="53" customFormat="1" ht="16.5" thickBot="1">
      <c r="A4" s="306" t="s">
        <v>943</v>
      </c>
      <c r="B4" s="306"/>
      <c r="C4" s="306"/>
      <c r="D4" s="306"/>
      <c r="R4" s="314" t="s">
        <v>1</v>
      </c>
      <c r="S4" s="314"/>
      <c r="T4" s="314"/>
      <c r="U4" s="314"/>
      <c r="V4" s="314"/>
    </row>
    <row r="5" spans="1:22" ht="36" customHeight="1" thickBot="1">
      <c r="A5" s="246" t="s">
        <v>942</v>
      </c>
      <c r="B5" s="247"/>
      <c r="C5" s="248"/>
      <c r="D5" s="303" t="s">
        <v>946</v>
      </c>
      <c r="E5" s="299" t="s">
        <v>690</v>
      </c>
      <c r="F5" s="300"/>
      <c r="G5" s="299" t="s">
        <v>691</v>
      </c>
      <c r="H5" s="318"/>
      <c r="I5" s="318"/>
      <c r="J5" s="318"/>
      <c r="K5" s="318"/>
      <c r="L5" s="300"/>
      <c r="M5" s="323" t="s">
        <v>944</v>
      </c>
      <c r="N5" s="330"/>
      <c r="O5" s="330"/>
      <c r="P5" s="330"/>
      <c r="Q5" s="330"/>
      <c r="R5" s="330"/>
      <c r="S5" s="330"/>
      <c r="T5" s="324"/>
      <c r="U5" s="271" t="s">
        <v>20</v>
      </c>
      <c r="V5" s="274"/>
    </row>
    <row r="6" spans="1:22" ht="36" customHeight="1" thickBot="1">
      <c r="A6" s="249"/>
      <c r="B6" s="250"/>
      <c r="C6" s="251"/>
      <c r="D6" s="304"/>
      <c r="E6" s="234" t="s">
        <v>4</v>
      </c>
      <c r="F6" s="317"/>
      <c r="G6" s="234" t="s">
        <v>316</v>
      </c>
      <c r="H6" s="235"/>
      <c r="I6" s="235" t="s">
        <v>6</v>
      </c>
      <c r="J6" s="235"/>
      <c r="K6" s="235" t="s">
        <v>689</v>
      </c>
      <c r="L6" s="317"/>
      <c r="M6" s="301" t="s">
        <v>1345</v>
      </c>
      <c r="N6" s="302"/>
      <c r="O6" s="301" t="s">
        <v>1346</v>
      </c>
      <c r="P6" s="302"/>
      <c r="Q6" s="301" t="s">
        <v>1344</v>
      </c>
      <c r="R6" s="302"/>
      <c r="S6" s="301" t="s">
        <v>1357</v>
      </c>
      <c r="T6" s="302"/>
      <c r="U6" s="316"/>
      <c r="V6" s="230"/>
    </row>
    <row r="7" spans="1:22" s="16" customFormat="1" ht="39" customHeight="1" thickBot="1">
      <c r="A7" s="48" t="s">
        <v>34</v>
      </c>
      <c r="B7" s="49" t="s">
        <v>35</v>
      </c>
      <c r="C7" s="50" t="s">
        <v>36</v>
      </c>
      <c r="D7" s="305"/>
      <c r="E7" s="67" t="s">
        <v>687</v>
      </c>
      <c r="F7" s="68" t="s">
        <v>688</v>
      </c>
      <c r="G7" s="67" t="s">
        <v>687</v>
      </c>
      <c r="H7" s="69" t="s">
        <v>688</v>
      </c>
      <c r="I7" s="69" t="s">
        <v>687</v>
      </c>
      <c r="J7" s="69" t="s">
        <v>688</v>
      </c>
      <c r="K7" s="69" t="s">
        <v>687</v>
      </c>
      <c r="L7" s="68" t="s">
        <v>688</v>
      </c>
      <c r="M7" s="67" t="s">
        <v>687</v>
      </c>
      <c r="N7" s="68" t="s">
        <v>688</v>
      </c>
      <c r="O7" s="67" t="s">
        <v>687</v>
      </c>
      <c r="P7" s="68" t="s">
        <v>688</v>
      </c>
      <c r="Q7" s="67" t="s">
        <v>687</v>
      </c>
      <c r="R7" s="68" t="s">
        <v>688</v>
      </c>
      <c r="S7" s="67" t="s">
        <v>687</v>
      </c>
      <c r="T7" s="68" t="s">
        <v>688</v>
      </c>
      <c r="U7" s="67" t="s">
        <v>687</v>
      </c>
      <c r="V7" s="68" t="s">
        <v>688</v>
      </c>
    </row>
    <row r="8" spans="1:22" ht="15.75" customHeight="1">
      <c r="A8" s="47" t="s">
        <v>448</v>
      </c>
      <c r="B8" s="18" t="s">
        <v>656</v>
      </c>
      <c r="C8" s="47" t="s">
        <v>428</v>
      </c>
      <c r="D8" s="51" t="s">
        <v>1084</v>
      </c>
      <c r="E8" s="64"/>
      <c r="F8" s="65"/>
      <c r="G8" s="64"/>
      <c r="H8" s="66"/>
      <c r="I8" s="66"/>
      <c r="J8" s="66"/>
      <c r="K8" s="66"/>
      <c r="L8" s="65"/>
      <c r="M8" s="64"/>
      <c r="N8" s="65"/>
      <c r="O8" s="190"/>
      <c r="P8" s="190"/>
      <c r="Q8" s="64"/>
      <c r="R8" s="65"/>
      <c r="S8" s="64"/>
      <c r="T8" s="65"/>
      <c r="U8" s="79">
        <f>M8+O8+Q8+S8</f>
        <v>0</v>
      </c>
      <c r="V8" s="79">
        <f>N8+P8+R8+T8</f>
        <v>0</v>
      </c>
    </row>
    <row r="9" spans="1:22" ht="15.75" customHeight="1">
      <c r="A9" s="22" t="s">
        <v>448</v>
      </c>
      <c r="B9" s="20" t="s">
        <v>656</v>
      </c>
      <c r="C9" s="22" t="s">
        <v>429</v>
      </c>
      <c r="D9" s="52" t="s">
        <v>1085</v>
      </c>
      <c r="E9" s="54"/>
      <c r="F9" s="63"/>
      <c r="G9" s="54"/>
      <c r="H9" s="55"/>
      <c r="I9" s="55"/>
      <c r="J9" s="55"/>
      <c r="K9" s="55"/>
      <c r="L9" s="63"/>
      <c r="M9" s="54"/>
      <c r="N9" s="63"/>
      <c r="O9" s="191"/>
      <c r="P9" s="191"/>
      <c r="Q9" s="54"/>
      <c r="R9" s="63"/>
      <c r="S9" s="54"/>
      <c r="T9" s="63"/>
      <c r="U9" s="79">
        <f t="shared" ref="U9:U53" si="0">M9+O9+Q9+S9</f>
        <v>0</v>
      </c>
      <c r="V9" s="79">
        <f t="shared" ref="V9:V53" si="1">N9+P9+R9+T9</f>
        <v>0</v>
      </c>
    </row>
    <row r="10" spans="1:22" s="147" customFormat="1" ht="15.75" customHeight="1">
      <c r="A10" s="148" t="s">
        <v>448</v>
      </c>
      <c r="B10" s="149" t="s">
        <v>656</v>
      </c>
      <c r="C10" s="148" t="s">
        <v>439</v>
      </c>
      <c r="D10" s="150" t="s">
        <v>1086</v>
      </c>
      <c r="E10" s="140">
        <v>0</v>
      </c>
      <c r="F10" s="141"/>
      <c r="G10" s="140">
        <v>0</v>
      </c>
      <c r="H10" s="142"/>
      <c r="I10" s="142">
        <v>0</v>
      </c>
      <c r="J10" s="142"/>
      <c r="K10" s="142">
        <v>0</v>
      </c>
      <c r="L10" s="141"/>
      <c r="M10" s="140"/>
      <c r="N10" s="141"/>
      <c r="O10" s="192"/>
      <c r="P10" s="192"/>
      <c r="Q10" s="140"/>
      <c r="R10" s="141"/>
      <c r="S10" s="140">
        <v>7000</v>
      </c>
      <c r="T10" s="141"/>
      <c r="U10" s="152">
        <f t="shared" si="0"/>
        <v>7000</v>
      </c>
      <c r="V10" s="152">
        <f t="shared" si="1"/>
        <v>0</v>
      </c>
    </row>
    <row r="11" spans="1:22" ht="15.75" customHeight="1">
      <c r="A11" s="22" t="s">
        <v>448</v>
      </c>
      <c r="B11" s="20" t="s">
        <v>656</v>
      </c>
      <c r="C11" s="22" t="s">
        <v>430</v>
      </c>
      <c r="D11" s="52" t="s">
        <v>1087</v>
      </c>
      <c r="E11" s="54"/>
      <c r="F11" s="63"/>
      <c r="G11" s="54"/>
      <c r="H11" s="55"/>
      <c r="I11" s="55"/>
      <c r="J11" s="55"/>
      <c r="K11" s="55"/>
      <c r="L11" s="63"/>
      <c r="M11" s="54"/>
      <c r="N11" s="63"/>
      <c r="O11" s="191"/>
      <c r="P11" s="191"/>
      <c r="Q11" s="54"/>
      <c r="R11" s="63"/>
      <c r="S11" s="54"/>
      <c r="T11" s="63"/>
      <c r="U11" s="79">
        <f t="shared" si="0"/>
        <v>0</v>
      </c>
      <c r="V11" s="79">
        <f t="shared" si="1"/>
        <v>0</v>
      </c>
    </row>
    <row r="12" spans="1:22" s="147" customFormat="1" ht="15.75" customHeight="1">
      <c r="A12" s="148" t="s">
        <v>448</v>
      </c>
      <c r="B12" s="149" t="s">
        <v>656</v>
      </c>
      <c r="C12" s="148" t="s">
        <v>1358</v>
      </c>
      <c r="D12" s="150" t="s">
        <v>1088</v>
      </c>
      <c r="E12" s="140">
        <v>0</v>
      </c>
      <c r="F12" s="141">
        <v>3073</v>
      </c>
      <c r="G12" s="140">
        <v>0</v>
      </c>
      <c r="H12" s="142"/>
      <c r="I12" s="142">
        <v>0</v>
      </c>
      <c r="J12" s="142"/>
      <c r="K12" s="142">
        <v>0</v>
      </c>
      <c r="L12" s="141"/>
      <c r="M12" s="140">
        <v>3169</v>
      </c>
      <c r="N12" s="141"/>
      <c r="O12" s="192">
        <v>5960</v>
      </c>
      <c r="P12" s="192"/>
      <c r="Q12" s="140">
        <v>1300</v>
      </c>
      <c r="R12" s="141"/>
      <c r="S12" s="140">
        <v>0</v>
      </c>
      <c r="T12" s="141"/>
      <c r="U12" s="152">
        <f t="shared" si="0"/>
        <v>10429</v>
      </c>
      <c r="V12" s="152">
        <f t="shared" si="1"/>
        <v>0</v>
      </c>
    </row>
    <row r="13" spans="1:22" ht="15.75" customHeight="1">
      <c r="A13" s="22" t="s">
        <v>448</v>
      </c>
      <c r="B13" s="20" t="s">
        <v>656</v>
      </c>
      <c r="C13" s="22" t="s">
        <v>432</v>
      </c>
      <c r="D13" s="52" t="s">
        <v>1089</v>
      </c>
      <c r="E13" s="54"/>
      <c r="F13" s="63"/>
      <c r="G13" s="54"/>
      <c r="H13" s="55"/>
      <c r="I13" s="55"/>
      <c r="J13" s="55"/>
      <c r="K13" s="55"/>
      <c r="L13" s="63"/>
      <c r="M13" s="54"/>
      <c r="N13" s="63"/>
      <c r="O13" s="191"/>
      <c r="P13" s="191"/>
      <c r="Q13" s="54"/>
      <c r="R13" s="63"/>
      <c r="S13" s="54"/>
      <c r="T13" s="63"/>
      <c r="U13" s="79">
        <f t="shared" si="0"/>
        <v>0</v>
      </c>
      <c r="V13" s="79">
        <f t="shared" si="1"/>
        <v>0</v>
      </c>
    </row>
    <row r="14" spans="1:22" ht="15.75" customHeight="1">
      <c r="A14" s="22" t="s">
        <v>448</v>
      </c>
      <c r="B14" s="20" t="s">
        <v>656</v>
      </c>
      <c r="C14" s="22" t="s">
        <v>433</v>
      </c>
      <c r="D14" s="52" t="s">
        <v>1090</v>
      </c>
      <c r="E14" s="54"/>
      <c r="F14" s="63"/>
      <c r="G14" s="54"/>
      <c r="H14" s="55"/>
      <c r="I14" s="55"/>
      <c r="J14" s="55"/>
      <c r="K14" s="55"/>
      <c r="L14" s="63"/>
      <c r="M14" s="54"/>
      <c r="N14" s="63"/>
      <c r="O14" s="191"/>
      <c r="P14" s="191"/>
      <c r="Q14" s="54"/>
      <c r="R14" s="63"/>
      <c r="S14" s="54"/>
      <c r="T14" s="63"/>
      <c r="U14" s="79">
        <f t="shared" si="0"/>
        <v>0</v>
      </c>
      <c r="V14" s="79">
        <f t="shared" si="1"/>
        <v>0</v>
      </c>
    </row>
    <row r="15" spans="1:22" s="147" customFormat="1" ht="15.75" customHeight="1">
      <c r="A15" s="148" t="s">
        <v>448</v>
      </c>
      <c r="B15" s="149" t="s">
        <v>656</v>
      </c>
      <c r="C15" s="148" t="s">
        <v>434</v>
      </c>
      <c r="D15" s="150" t="s">
        <v>1091</v>
      </c>
      <c r="E15" s="140">
        <v>0</v>
      </c>
      <c r="F15" s="141"/>
      <c r="G15" s="140">
        <v>0</v>
      </c>
      <c r="H15" s="142"/>
      <c r="I15" s="142">
        <v>0</v>
      </c>
      <c r="J15" s="142"/>
      <c r="K15" s="142">
        <v>0</v>
      </c>
      <c r="L15" s="141"/>
      <c r="M15" s="140">
        <v>6399.6399999999994</v>
      </c>
      <c r="N15" s="141"/>
      <c r="O15" s="192">
        <v>799.96</v>
      </c>
      <c r="P15" s="192"/>
      <c r="Q15" s="140">
        <v>399.99</v>
      </c>
      <c r="R15" s="141"/>
      <c r="S15" s="140">
        <v>399.98999999999978</v>
      </c>
      <c r="T15" s="141"/>
      <c r="U15" s="152">
        <f t="shared" si="0"/>
        <v>7999.579999999999</v>
      </c>
      <c r="V15" s="152">
        <f t="shared" si="1"/>
        <v>0</v>
      </c>
    </row>
    <row r="16" spans="1:22" ht="15.75" customHeight="1">
      <c r="A16" s="22" t="s">
        <v>448</v>
      </c>
      <c r="B16" s="20" t="s">
        <v>656</v>
      </c>
      <c r="C16" s="22" t="s">
        <v>435</v>
      </c>
      <c r="D16" s="52" t="s">
        <v>1092</v>
      </c>
      <c r="E16" s="54"/>
      <c r="F16" s="63"/>
      <c r="G16" s="54"/>
      <c r="H16" s="55"/>
      <c r="I16" s="55"/>
      <c r="J16" s="55"/>
      <c r="K16" s="55"/>
      <c r="L16" s="63"/>
      <c r="M16" s="54"/>
      <c r="N16" s="63"/>
      <c r="O16" s="191"/>
      <c r="P16" s="191"/>
      <c r="Q16" s="54"/>
      <c r="R16" s="63"/>
      <c r="S16" s="54"/>
      <c r="T16" s="63"/>
      <c r="U16" s="79">
        <f t="shared" si="0"/>
        <v>0</v>
      </c>
      <c r="V16" s="79">
        <f t="shared" si="1"/>
        <v>0</v>
      </c>
    </row>
    <row r="17" spans="1:22" ht="15.75" customHeight="1">
      <c r="A17" s="22" t="s">
        <v>448</v>
      </c>
      <c r="B17" s="20" t="s">
        <v>656</v>
      </c>
      <c r="C17" s="22" t="s">
        <v>436</v>
      </c>
      <c r="D17" s="52" t="s">
        <v>1093</v>
      </c>
      <c r="E17" s="54"/>
      <c r="F17" s="63"/>
      <c r="G17" s="54"/>
      <c r="H17" s="55"/>
      <c r="I17" s="55"/>
      <c r="J17" s="55"/>
      <c r="K17" s="55"/>
      <c r="L17" s="63"/>
      <c r="M17" s="54"/>
      <c r="N17" s="63"/>
      <c r="O17" s="191"/>
      <c r="P17" s="191"/>
      <c r="Q17" s="54"/>
      <c r="R17" s="63"/>
      <c r="S17" s="54"/>
      <c r="T17" s="63"/>
      <c r="U17" s="79">
        <f t="shared" si="0"/>
        <v>0</v>
      </c>
      <c r="V17" s="79">
        <f t="shared" si="1"/>
        <v>0</v>
      </c>
    </row>
    <row r="18" spans="1:22" ht="15.75" customHeight="1">
      <c r="A18" s="22" t="s">
        <v>448</v>
      </c>
      <c r="B18" s="20" t="s">
        <v>656</v>
      </c>
      <c r="C18" s="22" t="s">
        <v>437</v>
      </c>
      <c r="D18" s="52" t="s">
        <v>1094</v>
      </c>
      <c r="E18" s="54"/>
      <c r="F18" s="63"/>
      <c r="G18" s="54"/>
      <c r="H18" s="55"/>
      <c r="I18" s="55"/>
      <c r="J18" s="55"/>
      <c r="K18" s="55"/>
      <c r="L18" s="63"/>
      <c r="M18" s="54"/>
      <c r="N18" s="63"/>
      <c r="O18" s="191"/>
      <c r="P18" s="191"/>
      <c r="Q18" s="54"/>
      <c r="R18" s="63"/>
      <c r="S18" s="54"/>
      <c r="T18" s="63"/>
      <c r="U18" s="79">
        <f t="shared" si="0"/>
        <v>0</v>
      </c>
      <c r="V18" s="79">
        <f t="shared" si="1"/>
        <v>0</v>
      </c>
    </row>
    <row r="19" spans="1:22" ht="15.75" customHeight="1">
      <c r="A19" s="22" t="s">
        <v>448</v>
      </c>
      <c r="B19" s="20" t="s">
        <v>438</v>
      </c>
      <c r="C19" s="22" t="s">
        <v>428</v>
      </c>
      <c r="D19" s="52" t="s">
        <v>1095</v>
      </c>
      <c r="E19" s="54"/>
      <c r="F19" s="63"/>
      <c r="G19" s="54"/>
      <c r="H19" s="55"/>
      <c r="I19" s="55"/>
      <c r="J19" s="55"/>
      <c r="K19" s="55"/>
      <c r="L19" s="63"/>
      <c r="M19" s="54"/>
      <c r="N19" s="63"/>
      <c r="O19" s="191"/>
      <c r="P19" s="191"/>
      <c r="Q19" s="54"/>
      <c r="R19" s="63"/>
      <c r="S19" s="54"/>
      <c r="T19" s="63"/>
      <c r="U19" s="79">
        <f t="shared" si="0"/>
        <v>0</v>
      </c>
      <c r="V19" s="79">
        <f t="shared" si="1"/>
        <v>0</v>
      </c>
    </row>
    <row r="20" spans="1:22" ht="15.75" customHeight="1">
      <c r="A20" s="22" t="s">
        <v>448</v>
      </c>
      <c r="B20" s="20" t="s">
        <v>438</v>
      </c>
      <c r="C20" s="22" t="s">
        <v>429</v>
      </c>
      <c r="D20" s="52" t="s">
        <v>1096</v>
      </c>
      <c r="E20" s="54"/>
      <c r="F20" s="63"/>
      <c r="G20" s="54"/>
      <c r="H20" s="55"/>
      <c r="I20" s="55"/>
      <c r="J20" s="55"/>
      <c r="K20" s="55"/>
      <c r="L20" s="63"/>
      <c r="M20" s="54"/>
      <c r="N20" s="63"/>
      <c r="O20" s="191"/>
      <c r="P20" s="191"/>
      <c r="Q20" s="54"/>
      <c r="R20" s="63"/>
      <c r="S20" s="54"/>
      <c r="T20" s="63"/>
      <c r="U20" s="79">
        <f t="shared" si="0"/>
        <v>0</v>
      </c>
      <c r="V20" s="79">
        <f t="shared" si="1"/>
        <v>0</v>
      </c>
    </row>
    <row r="21" spans="1:22" ht="15.75" customHeight="1">
      <c r="A21" s="22" t="s">
        <v>448</v>
      </c>
      <c r="B21" s="20" t="s">
        <v>438</v>
      </c>
      <c r="C21" s="22" t="s">
        <v>439</v>
      </c>
      <c r="D21" s="52" t="s">
        <v>1097</v>
      </c>
      <c r="E21" s="54"/>
      <c r="F21" s="63"/>
      <c r="G21" s="54"/>
      <c r="H21" s="55"/>
      <c r="I21" s="55"/>
      <c r="J21" s="55"/>
      <c r="K21" s="55"/>
      <c r="L21" s="63"/>
      <c r="M21" s="54"/>
      <c r="N21" s="63"/>
      <c r="O21" s="191"/>
      <c r="P21" s="191"/>
      <c r="Q21" s="54"/>
      <c r="R21" s="63"/>
      <c r="S21" s="54"/>
      <c r="T21" s="63"/>
      <c r="U21" s="79">
        <f t="shared" si="0"/>
        <v>0</v>
      </c>
      <c r="V21" s="79">
        <f t="shared" si="1"/>
        <v>0</v>
      </c>
    </row>
    <row r="22" spans="1:22" ht="15.75" customHeight="1">
      <c r="A22" s="22" t="s">
        <v>448</v>
      </c>
      <c r="B22" s="20" t="s">
        <v>438</v>
      </c>
      <c r="C22" s="22" t="s">
        <v>430</v>
      </c>
      <c r="D22" s="52" t="s">
        <v>1098</v>
      </c>
      <c r="E22" s="54"/>
      <c r="F22" s="63"/>
      <c r="G22" s="54"/>
      <c r="H22" s="55"/>
      <c r="I22" s="55"/>
      <c r="J22" s="55"/>
      <c r="K22" s="55"/>
      <c r="L22" s="63"/>
      <c r="M22" s="54"/>
      <c r="N22" s="63"/>
      <c r="O22" s="191"/>
      <c r="P22" s="191"/>
      <c r="Q22" s="54"/>
      <c r="R22" s="63"/>
      <c r="S22" s="54"/>
      <c r="T22" s="63"/>
      <c r="U22" s="79">
        <f t="shared" si="0"/>
        <v>0</v>
      </c>
      <c r="V22" s="79">
        <f t="shared" si="1"/>
        <v>0</v>
      </c>
    </row>
    <row r="23" spans="1:22" ht="15.75" customHeight="1">
      <c r="A23" s="22" t="s">
        <v>448</v>
      </c>
      <c r="B23" s="20" t="s">
        <v>438</v>
      </c>
      <c r="C23" s="22" t="s">
        <v>431</v>
      </c>
      <c r="D23" s="52" t="s">
        <v>1099</v>
      </c>
      <c r="E23" s="54"/>
      <c r="F23" s="63"/>
      <c r="G23" s="54"/>
      <c r="H23" s="55"/>
      <c r="I23" s="55"/>
      <c r="J23" s="55"/>
      <c r="K23" s="55"/>
      <c r="L23" s="63"/>
      <c r="M23" s="54"/>
      <c r="N23" s="63"/>
      <c r="O23" s="191"/>
      <c r="P23" s="191"/>
      <c r="Q23" s="54"/>
      <c r="R23" s="63"/>
      <c r="S23" s="54"/>
      <c r="T23" s="63"/>
      <c r="U23" s="79">
        <f t="shared" si="0"/>
        <v>0</v>
      </c>
      <c r="V23" s="79">
        <f t="shared" si="1"/>
        <v>0</v>
      </c>
    </row>
    <row r="24" spans="1:22" ht="15.75" customHeight="1">
      <c r="A24" s="22" t="s">
        <v>448</v>
      </c>
      <c r="B24" s="20" t="s">
        <v>438</v>
      </c>
      <c r="C24" s="22" t="s">
        <v>440</v>
      </c>
      <c r="D24" s="52" t="s">
        <v>1100</v>
      </c>
      <c r="E24" s="54"/>
      <c r="F24" s="63"/>
      <c r="G24" s="54"/>
      <c r="H24" s="55"/>
      <c r="I24" s="55"/>
      <c r="J24" s="55"/>
      <c r="K24" s="55"/>
      <c r="L24" s="63"/>
      <c r="M24" s="54"/>
      <c r="N24" s="63"/>
      <c r="O24" s="191"/>
      <c r="P24" s="191"/>
      <c r="Q24" s="54"/>
      <c r="R24" s="63"/>
      <c r="S24" s="54"/>
      <c r="T24" s="63"/>
      <c r="U24" s="79">
        <f t="shared" si="0"/>
        <v>0</v>
      </c>
      <c r="V24" s="79">
        <f t="shared" si="1"/>
        <v>0</v>
      </c>
    </row>
    <row r="25" spans="1:22" ht="15.75" customHeight="1">
      <c r="A25" s="22" t="s">
        <v>448</v>
      </c>
      <c r="B25" s="20" t="s">
        <v>441</v>
      </c>
      <c r="C25" s="22" t="s">
        <v>442</v>
      </c>
      <c r="D25" s="52" t="s">
        <v>1101</v>
      </c>
      <c r="E25" s="54"/>
      <c r="F25" s="63"/>
      <c r="G25" s="54"/>
      <c r="H25" s="55"/>
      <c r="I25" s="55"/>
      <c r="J25" s="55"/>
      <c r="K25" s="55"/>
      <c r="L25" s="63"/>
      <c r="M25" s="54"/>
      <c r="N25" s="63"/>
      <c r="O25" s="191"/>
      <c r="P25" s="191"/>
      <c r="Q25" s="54"/>
      <c r="R25" s="63"/>
      <c r="S25" s="54"/>
      <c r="T25" s="63"/>
      <c r="U25" s="79">
        <f t="shared" si="0"/>
        <v>0</v>
      </c>
      <c r="V25" s="79">
        <f t="shared" si="1"/>
        <v>0</v>
      </c>
    </row>
    <row r="26" spans="1:22" ht="15.75" customHeight="1">
      <c r="A26" s="22" t="s">
        <v>448</v>
      </c>
      <c r="B26" s="20" t="s">
        <v>441</v>
      </c>
      <c r="C26" s="22" t="s">
        <v>443</v>
      </c>
      <c r="D26" s="52" t="s">
        <v>1102</v>
      </c>
      <c r="E26" s="54"/>
      <c r="F26" s="63"/>
      <c r="G26" s="54"/>
      <c r="H26" s="55"/>
      <c r="I26" s="55"/>
      <c r="J26" s="55"/>
      <c r="K26" s="55"/>
      <c r="L26" s="63"/>
      <c r="M26" s="54"/>
      <c r="N26" s="63"/>
      <c r="O26" s="191"/>
      <c r="P26" s="191"/>
      <c r="Q26" s="54"/>
      <c r="R26" s="63"/>
      <c r="S26" s="54"/>
      <c r="T26" s="63"/>
      <c r="U26" s="79">
        <f t="shared" si="0"/>
        <v>0</v>
      </c>
      <c r="V26" s="79">
        <f t="shared" si="1"/>
        <v>0</v>
      </c>
    </row>
    <row r="27" spans="1:22" ht="15.75" customHeight="1">
      <c r="A27" s="22" t="s">
        <v>448</v>
      </c>
      <c r="B27" s="20" t="s">
        <v>441</v>
      </c>
      <c r="C27" s="22" t="s">
        <v>444</v>
      </c>
      <c r="D27" s="52" t="s">
        <v>1103</v>
      </c>
      <c r="E27" s="54"/>
      <c r="F27" s="63"/>
      <c r="G27" s="54"/>
      <c r="H27" s="55"/>
      <c r="I27" s="55"/>
      <c r="J27" s="55"/>
      <c r="K27" s="55"/>
      <c r="L27" s="63"/>
      <c r="M27" s="54"/>
      <c r="N27" s="63"/>
      <c r="O27" s="191"/>
      <c r="P27" s="191"/>
      <c r="Q27" s="54"/>
      <c r="R27" s="63"/>
      <c r="S27" s="54"/>
      <c r="T27" s="63"/>
      <c r="U27" s="79">
        <f t="shared" si="0"/>
        <v>0</v>
      </c>
      <c r="V27" s="79">
        <f t="shared" si="1"/>
        <v>0</v>
      </c>
    </row>
    <row r="28" spans="1:22" ht="15.75" customHeight="1">
      <c r="A28" s="22" t="s">
        <v>448</v>
      </c>
      <c r="B28" s="20" t="s">
        <v>441</v>
      </c>
      <c r="C28" s="22" t="s">
        <v>445</v>
      </c>
      <c r="D28" s="52" t="s">
        <v>1104</v>
      </c>
      <c r="E28" s="54"/>
      <c r="F28" s="63"/>
      <c r="G28" s="54"/>
      <c r="H28" s="55"/>
      <c r="I28" s="55"/>
      <c r="J28" s="55"/>
      <c r="K28" s="55"/>
      <c r="L28" s="63"/>
      <c r="M28" s="54"/>
      <c r="N28" s="63"/>
      <c r="O28" s="191"/>
      <c r="P28" s="191"/>
      <c r="Q28" s="54"/>
      <c r="R28" s="63"/>
      <c r="S28" s="54"/>
      <c r="T28" s="63"/>
      <c r="U28" s="79">
        <f t="shared" si="0"/>
        <v>0</v>
      </c>
      <c r="V28" s="79">
        <f t="shared" si="1"/>
        <v>0</v>
      </c>
    </row>
    <row r="29" spans="1:22" ht="15.75" customHeight="1">
      <c r="A29" s="22" t="s">
        <v>448</v>
      </c>
      <c r="B29" s="20" t="s">
        <v>446</v>
      </c>
      <c r="C29" s="22" t="s">
        <v>442</v>
      </c>
      <c r="D29" s="52" t="s">
        <v>1105</v>
      </c>
      <c r="E29" s="54"/>
      <c r="F29" s="63"/>
      <c r="G29" s="54"/>
      <c r="H29" s="55"/>
      <c r="I29" s="55"/>
      <c r="J29" s="55"/>
      <c r="K29" s="55"/>
      <c r="L29" s="63"/>
      <c r="M29" s="54"/>
      <c r="N29" s="63"/>
      <c r="O29" s="191"/>
      <c r="P29" s="191"/>
      <c r="Q29" s="54"/>
      <c r="R29" s="63"/>
      <c r="S29" s="54"/>
      <c r="T29" s="63"/>
      <c r="U29" s="79">
        <f t="shared" si="0"/>
        <v>0</v>
      </c>
      <c r="V29" s="79">
        <f t="shared" si="1"/>
        <v>0</v>
      </c>
    </row>
    <row r="30" spans="1:22" ht="15.75" customHeight="1">
      <c r="A30" s="22" t="s">
        <v>448</v>
      </c>
      <c r="B30" s="20" t="s">
        <v>446</v>
      </c>
      <c r="C30" s="22" t="s">
        <v>443</v>
      </c>
      <c r="D30" s="52" t="s">
        <v>1106</v>
      </c>
      <c r="E30" s="54"/>
      <c r="F30" s="63"/>
      <c r="G30" s="54"/>
      <c r="H30" s="55"/>
      <c r="I30" s="55"/>
      <c r="J30" s="55"/>
      <c r="K30" s="55"/>
      <c r="L30" s="63"/>
      <c r="M30" s="54"/>
      <c r="N30" s="63"/>
      <c r="O30" s="191"/>
      <c r="P30" s="191"/>
      <c r="Q30" s="54"/>
      <c r="R30" s="63"/>
      <c r="S30" s="54"/>
      <c r="T30" s="63"/>
      <c r="U30" s="79">
        <f t="shared" si="0"/>
        <v>0</v>
      </c>
      <c r="V30" s="79">
        <f t="shared" si="1"/>
        <v>0</v>
      </c>
    </row>
    <row r="31" spans="1:22" ht="15.75" customHeight="1">
      <c r="A31" s="22" t="s">
        <v>448</v>
      </c>
      <c r="B31" s="20" t="s">
        <v>446</v>
      </c>
      <c r="C31" s="22" t="s">
        <v>444</v>
      </c>
      <c r="D31" s="52" t="s">
        <v>1107</v>
      </c>
      <c r="E31" s="54"/>
      <c r="F31" s="63"/>
      <c r="G31" s="54"/>
      <c r="H31" s="55"/>
      <c r="I31" s="55"/>
      <c r="J31" s="55"/>
      <c r="K31" s="55"/>
      <c r="L31" s="63"/>
      <c r="M31" s="54"/>
      <c r="N31" s="63"/>
      <c r="O31" s="191"/>
      <c r="P31" s="191"/>
      <c r="Q31" s="54"/>
      <c r="R31" s="63"/>
      <c r="S31" s="54"/>
      <c r="T31" s="63"/>
      <c r="U31" s="79">
        <f t="shared" si="0"/>
        <v>0</v>
      </c>
      <c r="V31" s="79">
        <f t="shared" si="1"/>
        <v>0</v>
      </c>
    </row>
    <row r="32" spans="1:22" ht="15.75" customHeight="1">
      <c r="A32" s="22" t="s">
        <v>448</v>
      </c>
      <c r="B32" s="20" t="s">
        <v>446</v>
      </c>
      <c r="C32" s="22" t="s">
        <v>447</v>
      </c>
      <c r="D32" s="52" t="s">
        <v>1108</v>
      </c>
      <c r="E32" s="54"/>
      <c r="F32" s="63"/>
      <c r="G32" s="54"/>
      <c r="H32" s="55"/>
      <c r="I32" s="55"/>
      <c r="J32" s="55"/>
      <c r="K32" s="55"/>
      <c r="L32" s="63"/>
      <c r="M32" s="54"/>
      <c r="N32" s="63"/>
      <c r="O32" s="191"/>
      <c r="P32" s="191"/>
      <c r="Q32" s="54"/>
      <c r="R32" s="63"/>
      <c r="S32" s="54"/>
      <c r="T32" s="63"/>
      <c r="U32" s="79">
        <f t="shared" si="0"/>
        <v>0</v>
      </c>
      <c r="V32" s="79">
        <f t="shared" si="1"/>
        <v>0</v>
      </c>
    </row>
    <row r="33" spans="1:22" ht="15.75" customHeight="1">
      <c r="A33" s="22" t="s">
        <v>449</v>
      </c>
      <c r="B33" s="20" t="s">
        <v>450</v>
      </c>
      <c r="C33" s="22" t="s">
        <v>451</v>
      </c>
      <c r="D33" s="52" t="s">
        <v>1109</v>
      </c>
      <c r="E33" s="54"/>
      <c r="F33" s="63"/>
      <c r="G33" s="54"/>
      <c r="H33" s="55"/>
      <c r="I33" s="55"/>
      <c r="J33" s="55"/>
      <c r="K33" s="55"/>
      <c r="L33" s="63"/>
      <c r="M33" s="54"/>
      <c r="N33" s="63"/>
      <c r="O33" s="191"/>
      <c r="P33" s="191"/>
      <c r="Q33" s="54"/>
      <c r="R33" s="63"/>
      <c r="S33" s="54"/>
      <c r="T33" s="63"/>
      <c r="U33" s="79">
        <f t="shared" si="0"/>
        <v>0</v>
      </c>
      <c r="V33" s="79">
        <f t="shared" si="1"/>
        <v>0</v>
      </c>
    </row>
    <row r="34" spans="1:22" ht="15.75" customHeight="1">
      <c r="A34" s="22" t="s">
        <v>449</v>
      </c>
      <c r="B34" s="20" t="s">
        <v>450</v>
      </c>
      <c r="C34" s="22" t="s">
        <v>452</v>
      </c>
      <c r="D34" s="52" t="s">
        <v>1110</v>
      </c>
      <c r="E34" s="54"/>
      <c r="F34" s="63"/>
      <c r="G34" s="54"/>
      <c r="H34" s="55"/>
      <c r="I34" s="55"/>
      <c r="J34" s="55"/>
      <c r="K34" s="55"/>
      <c r="L34" s="63"/>
      <c r="M34" s="54"/>
      <c r="N34" s="63"/>
      <c r="O34" s="191"/>
      <c r="P34" s="191"/>
      <c r="Q34" s="54"/>
      <c r="R34" s="63"/>
      <c r="S34" s="54"/>
      <c r="T34" s="63"/>
      <c r="U34" s="79">
        <f t="shared" si="0"/>
        <v>0</v>
      </c>
      <c r="V34" s="79">
        <f t="shared" si="1"/>
        <v>0</v>
      </c>
    </row>
    <row r="35" spans="1:22" ht="15.75" customHeight="1">
      <c r="A35" s="22" t="s">
        <v>449</v>
      </c>
      <c r="B35" s="20" t="s">
        <v>450</v>
      </c>
      <c r="C35" s="22" t="s">
        <v>453</v>
      </c>
      <c r="D35" s="52" t="s">
        <v>1111</v>
      </c>
      <c r="E35" s="54"/>
      <c r="F35" s="63"/>
      <c r="G35" s="54"/>
      <c r="H35" s="55"/>
      <c r="I35" s="55"/>
      <c r="J35" s="55"/>
      <c r="K35" s="55"/>
      <c r="L35" s="63"/>
      <c r="M35" s="54"/>
      <c r="N35" s="63"/>
      <c r="O35" s="191"/>
      <c r="P35" s="191"/>
      <c r="Q35" s="54"/>
      <c r="R35" s="63"/>
      <c r="S35" s="54"/>
      <c r="T35" s="63"/>
      <c r="U35" s="79">
        <f t="shared" si="0"/>
        <v>0</v>
      </c>
      <c r="V35" s="79">
        <f t="shared" si="1"/>
        <v>0</v>
      </c>
    </row>
    <row r="36" spans="1:22" ht="15.75" customHeight="1">
      <c r="A36" s="22" t="s">
        <v>449</v>
      </c>
      <c r="B36" s="20" t="s">
        <v>450</v>
      </c>
      <c r="C36" s="22" t="s">
        <v>454</v>
      </c>
      <c r="D36" s="52" t="s">
        <v>1112</v>
      </c>
      <c r="E36" s="54"/>
      <c r="F36" s="63"/>
      <c r="G36" s="54"/>
      <c r="H36" s="55"/>
      <c r="I36" s="55"/>
      <c r="J36" s="55"/>
      <c r="K36" s="55"/>
      <c r="L36" s="63"/>
      <c r="M36" s="54"/>
      <c r="N36" s="63"/>
      <c r="O36" s="191"/>
      <c r="P36" s="191"/>
      <c r="Q36" s="54"/>
      <c r="R36" s="63"/>
      <c r="S36" s="54"/>
      <c r="T36" s="63"/>
      <c r="U36" s="79">
        <f t="shared" si="0"/>
        <v>0</v>
      </c>
      <c r="V36" s="79">
        <f t="shared" si="1"/>
        <v>0</v>
      </c>
    </row>
    <row r="37" spans="1:22" ht="15.75" customHeight="1">
      <c r="A37" s="22" t="s">
        <v>449</v>
      </c>
      <c r="B37" s="20" t="s">
        <v>450</v>
      </c>
      <c r="C37" s="22" t="s">
        <v>455</v>
      </c>
      <c r="D37" s="52" t="s">
        <v>1113</v>
      </c>
      <c r="E37" s="54"/>
      <c r="F37" s="63"/>
      <c r="G37" s="54"/>
      <c r="H37" s="55"/>
      <c r="I37" s="55"/>
      <c r="J37" s="55"/>
      <c r="K37" s="55"/>
      <c r="L37" s="63"/>
      <c r="M37" s="54"/>
      <c r="N37" s="63"/>
      <c r="O37" s="191"/>
      <c r="P37" s="191"/>
      <c r="Q37" s="54"/>
      <c r="R37" s="63"/>
      <c r="S37" s="54"/>
      <c r="T37" s="63"/>
      <c r="U37" s="79">
        <f t="shared" si="0"/>
        <v>0</v>
      </c>
      <c r="V37" s="79">
        <f t="shared" si="1"/>
        <v>0</v>
      </c>
    </row>
    <row r="38" spans="1:22" ht="15.75" customHeight="1">
      <c r="A38" s="22" t="s">
        <v>449</v>
      </c>
      <c r="B38" s="20" t="s">
        <v>450</v>
      </c>
      <c r="C38" s="22" t="s">
        <v>456</v>
      </c>
      <c r="D38" s="52" t="s">
        <v>1114</v>
      </c>
      <c r="E38" s="54"/>
      <c r="F38" s="63"/>
      <c r="G38" s="54"/>
      <c r="H38" s="55"/>
      <c r="I38" s="55"/>
      <c r="J38" s="55"/>
      <c r="K38" s="55"/>
      <c r="L38" s="63"/>
      <c r="M38" s="54"/>
      <c r="N38" s="63"/>
      <c r="O38" s="191"/>
      <c r="P38" s="191"/>
      <c r="Q38" s="54"/>
      <c r="R38" s="63"/>
      <c r="S38" s="54"/>
      <c r="T38" s="63"/>
      <c r="U38" s="79">
        <f t="shared" si="0"/>
        <v>0</v>
      </c>
      <c r="V38" s="79">
        <f t="shared" si="1"/>
        <v>0</v>
      </c>
    </row>
    <row r="39" spans="1:22" s="147" customFormat="1" ht="15.75" customHeight="1">
      <c r="A39" s="148" t="s">
        <v>449</v>
      </c>
      <c r="B39" s="149" t="s">
        <v>450</v>
      </c>
      <c r="C39" s="148" t="s">
        <v>457</v>
      </c>
      <c r="D39" s="150" t="s">
        <v>1115</v>
      </c>
      <c r="E39" s="140">
        <v>0</v>
      </c>
      <c r="F39" s="141"/>
      <c r="G39" s="140"/>
      <c r="H39" s="142"/>
      <c r="I39" s="142"/>
      <c r="J39" s="142"/>
      <c r="K39" s="142"/>
      <c r="L39" s="141"/>
      <c r="M39" s="140">
        <v>1500</v>
      </c>
      <c r="N39" s="141"/>
      <c r="O39" s="192"/>
      <c r="P39" s="192"/>
      <c r="Q39" s="140"/>
      <c r="R39" s="141"/>
      <c r="S39" s="140"/>
      <c r="T39" s="141"/>
      <c r="U39" s="152">
        <f t="shared" si="0"/>
        <v>1500</v>
      </c>
      <c r="V39" s="152">
        <f t="shared" si="1"/>
        <v>0</v>
      </c>
    </row>
    <row r="40" spans="1:22" ht="15.75" customHeight="1">
      <c r="A40" s="22" t="s">
        <v>449</v>
      </c>
      <c r="B40" s="20" t="s">
        <v>450</v>
      </c>
      <c r="C40" s="22" t="s">
        <v>306</v>
      </c>
      <c r="D40" s="52" t="s">
        <v>1116</v>
      </c>
      <c r="E40" s="54"/>
      <c r="F40" s="63"/>
      <c r="G40" s="54"/>
      <c r="H40" s="55"/>
      <c r="I40" s="55"/>
      <c r="J40" s="55"/>
      <c r="K40" s="55"/>
      <c r="L40" s="63"/>
      <c r="M40" s="54"/>
      <c r="N40" s="63"/>
      <c r="O40" s="191"/>
      <c r="P40" s="191"/>
      <c r="Q40" s="54"/>
      <c r="R40" s="63"/>
      <c r="S40" s="54"/>
      <c r="T40" s="63"/>
      <c r="U40" s="79">
        <f t="shared" si="0"/>
        <v>0</v>
      </c>
      <c r="V40" s="79">
        <f t="shared" si="1"/>
        <v>0</v>
      </c>
    </row>
    <row r="41" spans="1:22" ht="15.75" customHeight="1">
      <c r="A41" s="22" t="s">
        <v>449</v>
      </c>
      <c r="B41" s="20" t="s">
        <v>450</v>
      </c>
      <c r="C41" s="22" t="s">
        <v>458</v>
      </c>
      <c r="D41" s="52" t="s">
        <v>1117</v>
      </c>
      <c r="E41" s="54"/>
      <c r="F41" s="63"/>
      <c r="G41" s="54"/>
      <c r="H41" s="55"/>
      <c r="I41" s="55"/>
      <c r="J41" s="55"/>
      <c r="K41" s="55"/>
      <c r="L41" s="63"/>
      <c r="M41" s="54"/>
      <c r="N41" s="63"/>
      <c r="O41" s="191"/>
      <c r="P41" s="191"/>
      <c r="Q41" s="54"/>
      <c r="R41" s="63"/>
      <c r="S41" s="54"/>
      <c r="T41" s="63"/>
      <c r="U41" s="79">
        <f t="shared" si="0"/>
        <v>0</v>
      </c>
      <c r="V41" s="79">
        <f t="shared" si="1"/>
        <v>0</v>
      </c>
    </row>
    <row r="42" spans="1:22" ht="15.75" customHeight="1">
      <c r="A42" s="22" t="s">
        <v>449</v>
      </c>
      <c r="B42" s="20" t="s">
        <v>450</v>
      </c>
      <c r="C42" s="22" t="s">
        <v>459</v>
      </c>
      <c r="D42" s="52" t="s">
        <v>1118</v>
      </c>
      <c r="E42" s="54"/>
      <c r="F42" s="63"/>
      <c r="G42" s="54"/>
      <c r="H42" s="55"/>
      <c r="I42" s="55"/>
      <c r="J42" s="55"/>
      <c r="K42" s="55"/>
      <c r="L42" s="63"/>
      <c r="M42" s="54"/>
      <c r="N42" s="63"/>
      <c r="O42" s="191"/>
      <c r="P42" s="191"/>
      <c r="Q42" s="54"/>
      <c r="R42" s="63"/>
      <c r="S42" s="54"/>
      <c r="T42" s="63"/>
      <c r="U42" s="79">
        <f t="shared" si="0"/>
        <v>0</v>
      </c>
      <c r="V42" s="79">
        <f t="shared" si="1"/>
        <v>0</v>
      </c>
    </row>
    <row r="43" spans="1:22" ht="15.75" customHeight="1">
      <c r="A43" s="22" t="s">
        <v>460</v>
      </c>
      <c r="B43" s="20" t="s">
        <v>461</v>
      </c>
      <c r="C43" s="22" t="s">
        <v>461</v>
      </c>
      <c r="D43" s="52" t="s">
        <v>1119</v>
      </c>
      <c r="E43" s="54"/>
      <c r="F43" s="63"/>
      <c r="G43" s="54"/>
      <c r="H43" s="55"/>
      <c r="I43" s="55"/>
      <c r="J43" s="55"/>
      <c r="K43" s="55"/>
      <c r="L43" s="63"/>
      <c r="M43" s="54"/>
      <c r="N43" s="63"/>
      <c r="O43" s="191"/>
      <c r="P43" s="191"/>
      <c r="Q43" s="54"/>
      <c r="R43" s="63"/>
      <c r="S43" s="54"/>
      <c r="T43" s="63"/>
      <c r="U43" s="79">
        <f t="shared" si="0"/>
        <v>0</v>
      </c>
      <c r="V43" s="79">
        <f t="shared" si="1"/>
        <v>0</v>
      </c>
    </row>
    <row r="44" spans="1:22" ht="15.75" customHeight="1">
      <c r="A44" s="22" t="s">
        <v>460</v>
      </c>
      <c r="B44" s="20" t="s">
        <v>462</v>
      </c>
      <c r="C44" s="22" t="s">
        <v>462</v>
      </c>
      <c r="D44" s="52" t="s">
        <v>1120</v>
      </c>
      <c r="E44" s="54"/>
      <c r="F44" s="63"/>
      <c r="G44" s="54"/>
      <c r="H44" s="55"/>
      <c r="I44" s="55"/>
      <c r="J44" s="55"/>
      <c r="K44" s="55"/>
      <c r="L44" s="63"/>
      <c r="M44" s="54"/>
      <c r="N44" s="63"/>
      <c r="O44" s="191"/>
      <c r="P44" s="191"/>
      <c r="Q44" s="54"/>
      <c r="R44" s="63"/>
      <c r="S44" s="54"/>
      <c r="T44" s="63"/>
      <c r="U44" s="79">
        <f t="shared" si="0"/>
        <v>0</v>
      </c>
      <c r="V44" s="79">
        <f t="shared" si="1"/>
        <v>0</v>
      </c>
    </row>
    <row r="45" spans="1:22" ht="15.75" customHeight="1">
      <c r="A45" s="22" t="s">
        <v>460</v>
      </c>
      <c r="B45" s="20" t="s">
        <v>463</v>
      </c>
      <c r="C45" s="22" t="s">
        <v>463</v>
      </c>
      <c r="D45" s="52" t="s">
        <v>1121</v>
      </c>
      <c r="E45" s="54"/>
      <c r="F45" s="63"/>
      <c r="G45" s="54"/>
      <c r="H45" s="55"/>
      <c r="I45" s="55"/>
      <c r="J45" s="55"/>
      <c r="K45" s="55"/>
      <c r="L45" s="63"/>
      <c r="M45" s="54"/>
      <c r="N45" s="63"/>
      <c r="O45" s="191"/>
      <c r="P45" s="191"/>
      <c r="Q45" s="54"/>
      <c r="R45" s="63"/>
      <c r="S45" s="54"/>
      <c r="T45" s="63"/>
      <c r="U45" s="79">
        <f t="shared" si="0"/>
        <v>0</v>
      </c>
      <c r="V45" s="79">
        <f t="shared" si="1"/>
        <v>0</v>
      </c>
    </row>
    <row r="46" spans="1:22" ht="15.75" customHeight="1">
      <c r="A46" s="22" t="s">
        <v>460</v>
      </c>
      <c r="B46" s="20" t="s">
        <v>464</v>
      </c>
      <c r="C46" s="22" t="s">
        <v>464</v>
      </c>
      <c r="D46" s="52" t="s">
        <v>1122</v>
      </c>
      <c r="E46" s="54"/>
      <c r="F46" s="63"/>
      <c r="G46" s="54"/>
      <c r="H46" s="55"/>
      <c r="I46" s="55"/>
      <c r="J46" s="55"/>
      <c r="K46" s="55"/>
      <c r="L46" s="63"/>
      <c r="M46" s="54"/>
      <c r="N46" s="63"/>
      <c r="O46" s="191"/>
      <c r="P46" s="191"/>
      <c r="Q46" s="54"/>
      <c r="R46" s="63"/>
      <c r="S46" s="54"/>
      <c r="T46" s="63"/>
      <c r="U46" s="79">
        <f t="shared" si="0"/>
        <v>0</v>
      </c>
      <c r="V46" s="79">
        <f t="shared" si="1"/>
        <v>0</v>
      </c>
    </row>
    <row r="47" spans="1:22" ht="15.75" customHeight="1">
      <c r="A47" s="22" t="s">
        <v>460</v>
      </c>
      <c r="B47" s="20" t="s">
        <v>465</v>
      </c>
      <c r="C47" s="22" t="s">
        <v>465</v>
      </c>
      <c r="D47" s="52" t="s">
        <v>1123</v>
      </c>
      <c r="E47" s="54"/>
      <c r="F47" s="63"/>
      <c r="G47" s="54"/>
      <c r="H47" s="55"/>
      <c r="I47" s="55"/>
      <c r="J47" s="55"/>
      <c r="K47" s="55"/>
      <c r="L47" s="63"/>
      <c r="M47" s="54"/>
      <c r="N47" s="63"/>
      <c r="O47" s="191"/>
      <c r="P47" s="191"/>
      <c r="Q47" s="54"/>
      <c r="R47" s="63"/>
      <c r="S47" s="54"/>
      <c r="T47" s="63"/>
      <c r="U47" s="79">
        <f t="shared" si="0"/>
        <v>0</v>
      </c>
      <c r="V47" s="79">
        <f t="shared" si="1"/>
        <v>0</v>
      </c>
    </row>
    <row r="48" spans="1:22" ht="15.75" customHeight="1">
      <c r="A48" s="22" t="s">
        <v>460</v>
      </c>
      <c r="B48" s="20" t="s">
        <v>466</v>
      </c>
      <c r="C48" s="22" t="s">
        <v>466</v>
      </c>
      <c r="D48" s="52" t="s">
        <v>1124</v>
      </c>
      <c r="E48" s="54"/>
      <c r="F48" s="63"/>
      <c r="G48" s="54"/>
      <c r="H48" s="55"/>
      <c r="I48" s="55"/>
      <c r="J48" s="55"/>
      <c r="K48" s="55"/>
      <c r="L48" s="63"/>
      <c r="M48" s="54"/>
      <c r="N48" s="63"/>
      <c r="O48" s="191"/>
      <c r="P48" s="191"/>
      <c r="Q48" s="54"/>
      <c r="R48" s="63"/>
      <c r="S48" s="54"/>
      <c r="T48" s="63"/>
      <c r="U48" s="79">
        <f t="shared" si="0"/>
        <v>0</v>
      </c>
      <c r="V48" s="79">
        <f t="shared" si="1"/>
        <v>0</v>
      </c>
    </row>
    <row r="49" spans="1:22" ht="15.75" customHeight="1">
      <c r="A49" s="22" t="s">
        <v>460</v>
      </c>
      <c r="B49" s="20" t="s">
        <v>467</v>
      </c>
      <c r="C49" s="22" t="s">
        <v>467</v>
      </c>
      <c r="D49" s="52" t="s">
        <v>1125</v>
      </c>
      <c r="E49" s="54"/>
      <c r="F49" s="63"/>
      <c r="G49" s="54"/>
      <c r="H49" s="55"/>
      <c r="I49" s="55"/>
      <c r="J49" s="55"/>
      <c r="K49" s="55"/>
      <c r="L49" s="63"/>
      <c r="M49" s="54"/>
      <c r="N49" s="63"/>
      <c r="O49" s="191"/>
      <c r="P49" s="191"/>
      <c r="Q49" s="54"/>
      <c r="R49" s="63"/>
      <c r="S49" s="54"/>
      <c r="T49" s="63"/>
      <c r="U49" s="79">
        <f t="shared" si="0"/>
        <v>0</v>
      </c>
      <c r="V49" s="79">
        <f t="shared" si="1"/>
        <v>0</v>
      </c>
    </row>
    <row r="50" spans="1:22" ht="15.75" customHeight="1">
      <c r="A50" s="22" t="s">
        <v>460</v>
      </c>
      <c r="B50" s="20" t="s">
        <v>468</v>
      </c>
      <c r="C50" s="22" t="s">
        <v>468</v>
      </c>
      <c r="D50" s="52" t="s">
        <v>1126</v>
      </c>
      <c r="E50" s="54"/>
      <c r="F50" s="63"/>
      <c r="G50" s="54"/>
      <c r="H50" s="55"/>
      <c r="I50" s="55"/>
      <c r="J50" s="55"/>
      <c r="K50" s="55"/>
      <c r="L50" s="63"/>
      <c r="M50" s="54"/>
      <c r="N50" s="63"/>
      <c r="O50" s="191"/>
      <c r="P50" s="191"/>
      <c r="Q50" s="54"/>
      <c r="R50" s="63"/>
      <c r="S50" s="54"/>
      <c r="T50" s="63"/>
      <c r="U50" s="79">
        <f t="shared" si="0"/>
        <v>0</v>
      </c>
      <c r="V50" s="79">
        <f t="shared" si="1"/>
        <v>0</v>
      </c>
    </row>
    <row r="51" spans="1:22" ht="15.75" customHeight="1">
      <c r="A51" s="22" t="s">
        <v>460</v>
      </c>
      <c r="B51" s="20" t="s">
        <v>469</v>
      </c>
      <c r="C51" s="22" t="s">
        <v>469</v>
      </c>
      <c r="D51" s="52" t="s">
        <v>1127</v>
      </c>
      <c r="E51" s="54"/>
      <c r="F51" s="63"/>
      <c r="G51" s="54"/>
      <c r="H51" s="55"/>
      <c r="I51" s="55"/>
      <c r="J51" s="55"/>
      <c r="K51" s="55"/>
      <c r="L51" s="63"/>
      <c r="M51" s="54"/>
      <c r="N51" s="63"/>
      <c r="O51" s="191"/>
      <c r="P51" s="191"/>
      <c r="Q51" s="54"/>
      <c r="R51" s="63"/>
      <c r="S51" s="54"/>
      <c r="T51" s="63"/>
      <c r="U51" s="79">
        <f t="shared" si="0"/>
        <v>0</v>
      </c>
      <c r="V51" s="79">
        <f t="shared" si="1"/>
        <v>0</v>
      </c>
    </row>
    <row r="52" spans="1:22" ht="15.75" customHeight="1">
      <c r="A52" s="22" t="s">
        <v>460</v>
      </c>
      <c r="B52" s="20" t="s">
        <v>470</v>
      </c>
      <c r="C52" s="20" t="s">
        <v>470</v>
      </c>
      <c r="D52" s="52" t="s">
        <v>1128</v>
      </c>
      <c r="E52" s="54"/>
      <c r="F52" s="63"/>
      <c r="G52" s="54"/>
      <c r="H52" s="55"/>
      <c r="I52" s="55"/>
      <c r="J52" s="55"/>
      <c r="K52" s="55"/>
      <c r="L52" s="63"/>
      <c r="M52" s="54"/>
      <c r="N52" s="63"/>
      <c r="O52" s="191"/>
      <c r="P52" s="191"/>
      <c r="Q52" s="54"/>
      <c r="R52" s="63"/>
      <c r="S52" s="54"/>
      <c r="T52" s="63"/>
      <c r="U52" s="79">
        <f t="shared" si="0"/>
        <v>0</v>
      </c>
      <c r="V52" s="79">
        <f t="shared" si="1"/>
        <v>0</v>
      </c>
    </row>
    <row r="53" spans="1:22" ht="15.75" customHeight="1" thickBot="1">
      <c r="A53" s="22" t="s">
        <v>460</v>
      </c>
      <c r="B53" s="20" t="s">
        <v>471</v>
      </c>
      <c r="C53" s="20" t="s">
        <v>471</v>
      </c>
      <c r="D53" s="52" t="s">
        <v>1129</v>
      </c>
      <c r="E53" s="54"/>
      <c r="F53" s="63"/>
      <c r="G53" s="54"/>
      <c r="H53" s="55"/>
      <c r="I53" s="55"/>
      <c r="J53" s="55"/>
      <c r="K53" s="55"/>
      <c r="L53" s="63"/>
      <c r="M53" s="54"/>
      <c r="N53" s="63"/>
      <c r="O53" s="191"/>
      <c r="P53" s="191"/>
      <c r="Q53" s="54"/>
      <c r="R53" s="63"/>
      <c r="S53" s="54"/>
      <c r="T53" s="63"/>
      <c r="U53" s="79">
        <f t="shared" si="0"/>
        <v>0</v>
      </c>
      <c r="V53" s="79">
        <f t="shared" si="1"/>
        <v>0</v>
      </c>
    </row>
    <row r="54" spans="1:22" ht="52.5" customHeight="1" thickBot="1">
      <c r="A54" s="320" t="s">
        <v>20</v>
      </c>
      <c r="B54" s="321"/>
      <c r="C54" s="321"/>
      <c r="D54" s="322"/>
      <c r="E54" s="62">
        <f t="shared" ref="E54:V54" si="2">SUM(E8:E53)</f>
        <v>0</v>
      </c>
      <c r="F54" s="58">
        <f t="shared" si="2"/>
        <v>3073</v>
      </c>
      <c r="G54" s="62">
        <f t="shared" si="2"/>
        <v>0</v>
      </c>
      <c r="H54" s="57">
        <f t="shared" si="2"/>
        <v>0</v>
      </c>
      <c r="I54" s="57">
        <f t="shared" si="2"/>
        <v>0</v>
      </c>
      <c r="J54" s="57">
        <f t="shared" si="2"/>
        <v>0</v>
      </c>
      <c r="K54" s="57">
        <f t="shared" si="2"/>
        <v>0</v>
      </c>
      <c r="L54" s="58">
        <f t="shared" si="2"/>
        <v>0</v>
      </c>
      <c r="M54" s="62">
        <f t="shared" si="2"/>
        <v>11068.64</v>
      </c>
      <c r="N54" s="58">
        <f t="shared" si="2"/>
        <v>0</v>
      </c>
      <c r="O54" s="62">
        <f t="shared" si="2"/>
        <v>6759.96</v>
      </c>
      <c r="P54" s="58">
        <f t="shared" si="2"/>
        <v>0</v>
      </c>
      <c r="Q54" s="62">
        <f t="shared" si="2"/>
        <v>1699.99</v>
      </c>
      <c r="R54" s="58">
        <f t="shared" si="2"/>
        <v>0</v>
      </c>
      <c r="S54" s="62">
        <f t="shared" si="2"/>
        <v>7399.99</v>
      </c>
      <c r="T54" s="58">
        <f t="shared" si="2"/>
        <v>0</v>
      </c>
      <c r="U54" s="62">
        <f>SUM(U8:U53)</f>
        <v>26928.579999999998</v>
      </c>
      <c r="V54" s="58">
        <f t="shared" si="2"/>
        <v>0</v>
      </c>
    </row>
  </sheetData>
  <autoFilter ref="A7:V54"/>
  <mergeCells count="20">
    <mergeCell ref="A54:D54"/>
    <mergeCell ref="U5:V6"/>
    <mergeCell ref="E6:F6"/>
    <mergeCell ref="G6:H6"/>
    <mergeCell ref="I6:J6"/>
    <mergeCell ref="K6:L6"/>
    <mergeCell ref="M6:N6"/>
    <mergeCell ref="Q6:R6"/>
    <mergeCell ref="S6:T6"/>
    <mergeCell ref="A5:C6"/>
    <mergeCell ref="D5:D7"/>
    <mergeCell ref="E5:F5"/>
    <mergeCell ref="G5:L5"/>
    <mergeCell ref="M5:T5"/>
    <mergeCell ref="O6:P6"/>
    <mergeCell ref="A1:V1"/>
    <mergeCell ref="A2:V2"/>
    <mergeCell ref="A3:V3"/>
    <mergeCell ref="A4:D4"/>
    <mergeCell ref="R4:V4"/>
  </mergeCells>
  <printOptions horizontalCentered="1"/>
  <pageMargins left="0" right="0" top="0" bottom="0" header="0" footer="0"/>
  <pageSetup paperSize="9" scale="5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4659260841701"/>
    <pageSetUpPr fitToPage="1"/>
  </sheetPr>
  <dimension ref="A1:T121"/>
  <sheetViews>
    <sheetView rightToLeft="1" zoomScaleSheetLayoutView="55" workbookViewId="0">
      <selection activeCell="M10" sqref="M10"/>
    </sheetView>
  </sheetViews>
  <sheetFormatPr defaultColWidth="9" defaultRowHeight="12.75"/>
  <cols>
    <col min="1" max="1" width="15.42578125" style="21" customWidth="1"/>
    <col min="2" max="2" width="15.42578125" style="23" customWidth="1"/>
    <col min="3" max="3" width="34.140625" style="21" bestFit="1" customWidth="1"/>
    <col min="4" max="4" width="9" style="15" customWidth="1"/>
    <col min="5" max="6" width="10.140625" style="15" customWidth="1"/>
    <col min="7" max="16384" width="9" style="15"/>
  </cols>
  <sheetData>
    <row r="1" spans="1:20" s="53" customFormat="1" ht="15.75">
      <c r="A1" s="307" t="s">
        <v>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0" s="53" customFormat="1" ht="15.75">
      <c r="A2" s="307" t="s">
        <v>31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1:20" s="53" customFormat="1" ht="15.75">
      <c r="A3" s="307" t="s">
        <v>1264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1:20" s="53" customFormat="1" ht="16.5" thickBot="1">
      <c r="A4" s="306" t="s">
        <v>943</v>
      </c>
      <c r="B4" s="306"/>
      <c r="C4" s="306"/>
      <c r="D4" s="306"/>
      <c r="P4" s="314" t="s">
        <v>1</v>
      </c>
      <c r="Q4" s="314"/>
      <c r="R4" s="314"/>
      <c r="S4" s="314"/>
      <c r="T4" s="314"/>
    </row>
    <row r="5" spans="1:20" ht="36" customHeight="1" thickBot="1">
      <c r="A5" s="246" t="s">
        <v>942</v>
      </c>
      <c r="B5" s="247"/>
      <c r="C5" s="248"/>
      <c r="D5" s="327" t="s">
        <v>946</v>
      </c>
      <c r="E5" s="11" t="s">
        <v>690</v>
      </c>
      <c r="F5" s="10"/>
      <c r="G5" s="11" t="s">
        <v>691</v>
      </c>
      <c r="H5" s="334"/>
      <c r="I5" s="334"/>
      <c r="J5" s="334"/>
      <c r="K5" s="334"/>
      <c r="L5" s="10"/>
      <c r="M5" s="323" t="s">
        <v>944</v>
      </c>
      <c r="N5" s="330"/>
      <c r="O5" s="330"/>
      <c r="P5" s="330"/>
      <c r="Q5" s="330"/>
      <c r="R5" s="324"/>
      <c r="S5" s="271" t="s">
        <v>20</v>
      </c>
      <c r="T5" s="274"/>
    </row>
    <row r="6" spans="1:20" ht="36" customHeight="1" thickBot="1">
      <c r="A6" s="249"/>
      <c r="B6" s="250"/>
      <c r="C6" s="251"/>
      <c r="D6" s="328"/>
      <c r="E6" s="331" t="s">
        <v>4</v>
      </c>
      <c r="F6" s="332"/>
      <c r="G6" s="331" t="s">
        <v>316</v>
      </c>
      <c r="H6" s="333"/>
      <c r="I6" s="333" t="s">
        <v>6</v>
      </c>
      <c r="J6" s="333"/>
      <c r="K6" s="333" t="s">
        <v>689</v>
      </c>
      <c r="L6" s="332"/>
      <c r="M6" s="301" t="s">
        <v>1245</v>
      </c>
      <c r="N6" s="302"/>
      <c r="O6" s="301" t="s">
        <v>1243</v>
      </c>
      <c r="P6" s="302"/>
      <c r="Q6" s="301" t="s">
        <v>1244</v>
      </c>
      <c r="R6" s="302"/>
      <c r="S6" s="316"/>
      <c r="T6" s="230"/>
    </row>
    <row r="7" spans="1:20" s="16" customFormat="1" ht="39" customHeight="1" thickBot="1">
      <c r="A7" s="48" t="s">
        <v>34</v>
      </c>
      <c r="B7" s="49" t="s">
        <v>35</v>
      </c>
      <c r="C7" s="50" t="s">
        <v>36</v>
      </c>
      <c r="D7" s="329"/>
      <c r="E7" s="67" t="s">
        <v>687</v>
      </c>
      <c r="F7" s="68" t="s">
        <v>688</v>
      </c>
      <c r="G7" s="67" t="s">
        <v>687</v>
      </c>
      <c r="H7" s="69" t="s">
        <v>688</v>
      </c>
      <c r="I7" s="69" t="s">
        <v>687</v>
      </c>
      <c r="J7" s="69" t="s">
        <v>688</v>
      </c>
      <c r="K7" s="69" t="s">
        <v>687</v>
      </c>
      <c r="L7" s="68" t="s">
        <v>688</v>
      </c>
      <c r="M7" s="67" t="s">
        <v>687</v>
      </c>
      <c r="N7" s="68" t="s">
        <v>688</v>
      </c>
      <c r="O7" s="67" t="s">
        <v>687</v>
      </c>
      <c r="P7" s="68" t="s">
        <v>688</v>
      </c>
      <c r="Q7" s="67" t="s">
        <v>687</v>
      </c>
      <c r="R7" s="68" t="s">
        <v>688</v>
      </c>
      <c r="S7" s="67" t="s">
        <v>687</v>
      </c>
      <c r="T7" s="68" t="s">
        <v>688</v>
      </c>
    </row>
    <row r="8" spans="1:20" ht="15.75" customHeight="1">
      <c r="A8" s="47" t="s">
        <v>319</v>
      </c>
      <c r="B8" s="18" t="s">
        <v>324</v>
      </c>
      <c r="C8" s="47" t="s">
        <v>320</v>
      </c>
      <c r="D8" s="51" t="s">
        <v>1130</v>
      </c>
      <c r="E8" s="64"/>
      <c r="F8" s="65"/>
      <c r="G8" s="64"/>
      <c r="H8" s="66"/>
      <c r="I8" s="66"/>
      <c r="J8" s="66"/>
      <c r="K8" s="66"/>
      <c r="L8" s="65"/>
      <c r="M8" s="64"/>
      <c r="N8" s="65"/>
      <c r="O8" s="64"/>
      <c r="P8" s="65"/>
      <c r="Q8" s="64"/>
      <c r="R8" s="65"/>
      <c r="S8" s="79">
        <f>M8+O8+Q8</f>
        <v>0</v>
      </c>
      <c r="T8" s="80">
        <f>N8+P8+R8</f>
        <v>0</v>
      </c>
    </row>
    <row r="9" spans="1:20" ht="15.75" customHeight="1">
      <c r="A9" s="22" t="s">
        <v>319</v>
      </c>
      <c r="B9" s="20" t="s">
        <v>324</v>
      </c>
      <c r="C9" s="22" t="s">
        <v>321</v>
      </c>
      <c r="D9" s="52" t="s">
        <v>1131</v>
      </c>
      <c r="E9" s="54"/>
      <c r="F9" s="63"/>
      <c r="G9" s="54"/>
      <c r="H9" s="55"/>
      <c r="I9" s="55"/>
      <c r="J9" s="55"/>
      <c r="K9" s="55"/>
      <c r="L9" s="63"/>
      <c r="M9" s="54"/>
      <c r="N9" s="63"/>
      <c r="O9" s="54"/>
      <c r="P9" s="63"/>
      <c r="Q9" s="54"/>
      <c r="R9" s="63"/>
      <c r="S9" s="61">
        <f t="shared" ref="S9:T25" si="0">M9+O9+Q9</f>
        <v>0</v>
      </c>
      <c r="T9" s="56">
        <f t="shared" si="0"/>
        <v>0</v>
      </c>
    </row>
    <row r="10" spans="1:20" ht="15.75" customHeight="1">
      <c r="A10" s="22" t="s">
        <v>319</v>
      </c>
      <c r="B10" s="20" t="s">
        <v>324</v>
      </c>
      <c r="C10" s="22" t="s">
        <v>322</v>
      </c>
      <c r="D10" s="52" t="s">
        <v>1132</v>
      </c>
      <c r="E10" s="54"/>
      <c r="F10" s="63"/>
      <c r="G10" s="54"/>
      <c r="H10" s="55"/>
      <c r="I10" s="55"/>
      <c r="J10" s="55"/>
      <c r="K10" s="55"/>
      <c r="L10" s="63"/>
      <c r="M10" s="54"/>
      <c r="N10" s="63"/>
      <c r="O10" s="54"/>
      <c r="P10" s="63"/>
      <c r="Q10" s="54"/>
      <c r="R10" s="63"/>
      <c r="S10" s="61">
        <f t="shared" si="0"/>
        <v>0</v>
      </c>
      <c r="T10" s="56">
        <f t="shared" si="0"/>
        <v>0</v>
      </c>
    </row>
    <row r="11" spans="1:20" ht="15.75" customHeight="1">
      <c r="A11" s="22" t="s">
        <v>319</v>
      </c>
      <c r="B11" s="20" t="s">
        <v>324</v>
      </c>
      <c r="C11" s="22" t="s">
        <v>323</v>
      </c>
      <c r="D11" s="52" t="s">
        <v>1133</v>
      </c>
      <c r="E11" s="54"/>
      <c r="F11" s="63"/>
      <c r="G11" s="54"/>
      <c r="H11" s="55"/>
      <c r="I11" s="55"/>
      <c r="J11" s="55"/>
      <c r="K11" s="55"/>
      <c r="L11" s="63"/>
      <c r="M11" s="54"/>
      <c r="N11" s="63"/>
      <c r="O11" s="54"/>
      <c r="P11" s="63"/>
      <c r="Q11" s="54"/>
      <c r="R11" s="63"/>
      <c r="S11" s="61">
        <f t="shared" si="0"/>
        <v>0</v>
      </c>
      <c r="T11" s="56">
        <f t="shared" si="0"/>
        <v>0</v>
      </c>
    </row>
    <row r="12" spans="1:20" ht="15.75" customHeight="1">
      <c r="A12" s="22" t="s">
        <v>319</v>
      </c>
      <c r="B12" s="20" t="s">
        <v>325</v>
      </c>
      <c r="C12" s="22" t="s">
        <v>320</v>
      </c>
      <c r="D12" s="52" t="s">
        <v>1134</v>
      </c>
      <c r="E12" s="54"/>
      <c r="F12" s="63"/>
      <c r="G12" s="54"/>
      <c r="H12" s="55"/>
      <c r="I12" s="55"/>
      <c r="J12" s="55"/>
      <c r="K12" s="55"/>
      <c r="L12" s="63"/>
      <c r="M12" s="54"/>
      <c r="N12" s="63"/>
      <c r="O12" s="54"/>
      <c r="P12" s="63"/>
      <c r="Q12" s="54"/>
      <c r="R12" s="63"/>
      <c r="S12" s="61">
        <f t="shared" si="0"/>
        <v>0</v>
      </c>
      <c r="T12" s="56">
        <f t="shared" si="0"/>
        <v>0</v>
      </c>
    </row>
    <row r="13" spans="1:20" ht="15.75" customHeight="1">
      <c r="A13" s="22" t="s">
        <v>319</v>
      </c>
      <c r="B13" s="20" t="s">
        <v>325</v>
      </c>
      <c r="C13" s="22" t="s">
        <v>321</v>
      </c>
      <c r="D13" s="52" t="s">
        <v>1135</v>
      </c>
      <c r="E13" s="54"/>
      <c r="F13" s="63"/>
      <c r="G13" s="54"/>
      <c r="H13" s="55"/>
      <c r="I13" s="55"/>
      <c r="J13" s="55"/>
      <c r="K13" s="55"/>
      <c r="L13" s="63"/>
      <c r="M13" s="54"/>
      <c r="N13" s="63"/>
      <c r="O13" s="54"/>
      <c r="P13" s="63"/>
      <c r="Q13" s="54"/>
      <c r="R13" s="63"/>
      <c r="S13" s="61">
        <f t="shared" si="0"/>
        <v>0</v>
      </c>
      <c r="T13" s="56">
        <f t="shared" si="0"/>
        <v>0</v>
      </c>
    </row>
    <row r="14" spans="1:20" ht="15.75" customHeight="1">
      <c r="A14" s="22" t="s">
        <v>319</v>
      </c>
      <c r="B14" s="20" t="s">
        <v>325</v>
      </c>
      <c r="C14" s="22" t="s">
        <v>322</v>
      </c>
      <c r="D14" s="52" t="s">
        <v>1136</v>
      </c>
      <c r="E14" s="54"/>
      <c r="F14" s="63"/>
      <c r="G14" s="54"/>
      <c r="H14" s="55"/>
      <c r="I14" s="55"/>
      <c r="J14" s="55"/>
      <c r="K14" s="55"/>
      <c r="L14" s="63"/>
      <c r="M14" s="54"/>
      <c r="N14" s="63"/>
      <c r="O14" s="54"/>
      <c r="P14" s="63"/>
      <c r="Q14" s="54"/>
      <c r="R14" s="63"/>
      <c r="S14" s="61">
        <f t="shared" si="0"/>
        <v>0</v>
      </c>
      <c r="T14" s="56">
        <f t="shared" si="0"/>
        <v>0</v>
      </c>
    </row>
    <row r="15" spans="1:20" ht="15.75" customHeight="1">
      <c r="A15" s="22" t="s">
        <v>319</v>
      </c>
      <c r="B15" s="20" t="s">
        <v>325</v>
      </c>
      <c r="C15" s="22" t="s">
        <v>323</v>
      </c>
      <c r="D15" s="52" t="s">
        <v>1137</v>
      </c>
      <c r="E15" s="54"/>
      <c r="F15" s="63"/>
      <c r="G15" s="54"/>
      <c r="H15" s="55"/>
      <c r="I15" s="55"/>
      <c r="J15" s="55"/>
      <c r="K15" s="55"/>
      <c r="L15" s="63"/>
      <c r="M15" s="54"/>
      <c r="N15" s="63"/>
      <c r="O15" s="54"/>
      <c r="P15" s="63"/>
      <c r="Q15" s="54"/>
      <c r="R15" s="63"/>
      <c r="S15" s="61">
        <f t="shared" si="0"/>
        <v>0</v>
      </c>
      <c r="T15" s="56">
        <f t="shared" si="0"/>
        <v>0</v>
      </c>
    </row>
    <row r="16" spans="1:20" s="147" customFormat="1" ht="15.75" customHeight="1">
      <c r="A16" s="148" t="s">
        <v>326</v>
      </c>
      <c r="B16" s="149" t="s">
        <v>327</v>
      </c>
      <c r="C16" s="148" t="s">
        <v>329</v>
      </c>
      <c r="D16" s="150" t="s">
        <v>1138</v>
      </c>
      <c r="E16" s="140"/>
      <c r="F16" s="141"/>
      <c r="G16" s="140"/>
      <c r="H16" s="142"/>
      <c r="I16" s="142"/>
      <c r="J16" s="142"/>
      <c r="K16" s="142"/>
      <c r="L16" s="141"/>
      <c r="M16" s="140"/>
      <c r="N16" s="141"/>
      <c r="O16" s="140"/>
      <c r="P16" s="141"/>
      <c r="Q16" s="140"/>
      <c r="R16" s="141"/>
      <c r="S16" s="151">
        <f t="shared" si="0"/>
        <v>0</v>
      </c>
      <c r="T16" s="146">
        <f t="shared" si="0"/>
        <v>0</v>
      </c>
    </row>
    <row r="17" spans="1:20" s="147" customFormat="1" ht="15.75" customHeight="1">
      <c r="A17" s="148" t="s">
        <v>326</v>
      </c>
      <c r="B17" s="149" t="s">
        <v>327</v>
      </c>
      <c r="C17" s="148" t="s">
        <v>330</v>
      </c>
      <c r="D17" s="150" t="s">
        <v>1139</v>
      </c>
      <c r="E17" s="140"/>
      <c r="F17" s="141"/>
      <c r="G17" s="140"/>
      <c r="H17" s="142"/>
      <c r="I17" s="142"/>
      <c r="J17" s="142"/>
      <c r="K17" s="142"/>
      <c r="L17" s="141"/>
      <c r="M17" s="140"/>
      <c r="N17" s="141"/>
      <c r="O17" s="140"/>
      <c r="P17" s="141"/>
      <c r="Q17" s="140"/>
      <c r="R17" s="141"/>
      <c r="S17" s="151">
        <f t="shared" si="0"/>
        <v>0</v>
      </c>
      <c r="T17" s="146">
        <f t="shared" si="0"/>
        <v>0</v>
      </c>
    </row>
    <row r="18" spans="1:20" s="147" customFormat="1" ht="15.75" customHeight="1">
      <c r="A18" s="148" t="s">
        <v>326</v>
      </c>
      <c r="B18" s="149" t="s">
        <v>327</v>
      </c>
      <c r="C18" s="148" t="s">
        <v>331</v>
      </c>
      <c r="D18" s="150" t="s">
        <v>1140</v>
      </c>
      <c r="E18" s="140"/>
      <c r="F18" s="141"/>
      <c r="G18" s="140"/>
      <c r="H18" s="142"/>
      <c r="I18" s="142"/>
      <c r="J18" s="142"/>
      <c r="K18" s="142"/>
      <c r="L18" s="141"/>
      <c r="M18" s="140"/>
      <c r="N18" s="141"/>
      <c r="O18" s="140"/>
      <c r="P18" s="141"/>
      <c r="Q18" s="140"/>
      <c r="R18" s="141"/>
      <c r="S18" s="151">
        <f t="shared" si="0"/>
        <v>0</v>
      </c>
      <c r="T18" s="146">
        <f t="shared" si="0"/>
        <v>0</v>
      </c>
    </row>
    <row r="19" spans="1:20" s="147" customFormat="1" ht="15.75" customHeight="1">
      <c r="A19" s="148" t="s">
        <v>326</v>
      </c>
      <c r="B19" s="149" t="s">
        <v>327</v>
      </c>
      <c r="C19" s="148" t="s">
        <v>332</v>
      </c>
      <c r="D19" s="150" t="s">
        <v>1141</v>
      </c>
      <c r="E19" s="140"/>
      <c r="F19" s="141"/>
      <c r="G19" s="140"/>
      <c r="H19" s="142"/>
      <c r="I19" s="142"/>
      <c r="J19" s="142"/>
      <c r="K19" s="142"/>
      <c r="L19" s="141"/>
      <c r="M19" s="140"/>
      <c r="N19" s="141"/>
      <c r="O19" s="140"/>
      <c r="P19" s="141"/>
      <c r="Q19" s="140"/>
      <c r="R19" s="141"/>
      <c r="S19" s="151">
        <f t="shared" si="0"/>
        <v>0</v>
      </c>
      <c r="T19" s="146">
        <f t="shared" si="0"/>
        <v>0</v>
      </c>
    </row>
    <row r="20" spans="1:20" ht="15.75" customHeight="1">
      <c r="A20" s="22" t="s">
        <v>326</v>
      </c>
      <c r="B20" s="20" t="s">
        <v>327</v>
      </c>
      <c r="C20" s="22" t="s">
        <v>333</v>
      </c>
      <c r="D20" s="52" t="s">
        <v>1142</v>
      </c>
      <c r="E20" s="54"/>
      <c r="F20" s="63"/>
      <c r="G20" s="54"/>
      <c r="H20" s="55"/>
      <c r="I20" s="55"/>
      <c r="J20" s="55"/>
      <c r="K20" s="55"/>
      <c r="L20" s="63"/>
      <c r="M20" s="54"/>
      <c r="N20" s="63"/>
      <c r="O20" s="54"/>
      <c r="P20" s="63"/>
      <c r="Q20" s="54"/>
      <c r="R20" s="63"/>
      <c r="S20" s="61">
        <f t="shared" si="0"/>
        <v>0</v>
      </c>
      <c r="T20" s="56">
        <f t="shared" si="0"/>
        <v>0</v>
      </c>
    </row>
    <row r="21" spans="1:20" ht="15.75" customHeight="1">
      <c r="A21" s="22" t="s">
        <v>326</v>
      </c>
      <c r="B21" s="20" t="s">
        <v>327</v>
      </c>
      <c r="C21" s="22" t="s">
        <v>334</v>
      </c>
      <c r="D21" s="52" t="s">
        <v>1143</v>
      </c>
      <c r="E21" s="54"/>
      <c r="F21" s="63"/>
      <c r="G21" s="54"/>
      <c r="H21" s="55"/>
      <c r="I21" s="55"/>
      <c r="J21" s="55"/>
      <c r="K21" s="55"/>
      <c r="L21" s="63"/>
      <c r="M21" s="54"/>
      <c r="N21" s="63"/>
      <c r="O21" s="54"/>
      <c r="P21" s="63"/>
      <c r="Q21" s="54"/>
      <c r="R21" s="63"/>
      <c r="S21" s="61">
        <f t="shared" si="0"/>
        <v>0</v>
      </c>
      <c r="T21" s="56">
        <f t="shared" si="0"/>
        <v>0</v>
      </c>
    </row>
    <row r="22" spans="1:20" ht="15.75" customHeight="1">
      <c r="A22" s="22" t="s">
        <v>326</v>
      </c>
      <c r="B22" s="20" t="s">
        <v>327</v>
      </c>
      <c r="C22" s="22" t="s">
        <v>335</v>
      </c>
      <c r="D22" s="52" t="s">
        <v>1144</v>
      </c>
      <c r="E22" s="54"/>
      <c r="F22" s="63"/>
      <c r="G22" s="54"/>
      <c r="H22" s="55"/>
      <c r="I22" s="55"/>
      <c r="J22" s="55"/>
      <c r="K22" s="55"/>
      <c r="L22" s="63"/>
      <c r="M22" s="54"/>
      <c r="N22" s="63"/>
      <c r="O22" s="54"/>
      <c r="P22" s="63"/>
      <c r="Q22" s="54"/>
      <c r="R22" s="63"/>
      <c r="S22" s="61">
        <f t="shared" si="0"/>
        <v>0</v>
      </c>
      <c r="T22" s="56">
        <f t="shared" si="0"/>
        <v>0</v>
      </c>
    </row>
    <row r="23" spans="1:20" ht="15.75" customHeight="1">
      <c r="A23" s="22" t="s">
        <v>326</v>
      </c>
      <c r="B23" s="20" t="s">
        <v>327</v>
      </c>
      <c r="C23" s="22" t="s">
        <v>336</v>
      </c>
      <c r="D23" s="52" t="s">
        <v>1145</v>
      </c>
      <c r="E23" s="54"/>
      <c r="F23" s="63"/>
      <c r="G23" s="54"/>
      <c r="H23" s="55"/>
      <c r="I23" s="55"/>
      <c r="J23" s="55"/>
      <c r="K23" s="55"/>
      <c r="L23" s="63"/>
      <c r="M23" s="54"/>
      <c r="N23" s="63"/>
      <c r="O23" s="54"/>
      <c r="P23" s="63"/>
      <c r="Q23" s="54"/>
      <c r="R23" s="63"/>
      <c r="S23" s="61">
        <f t="shared" si="0"/>
        <v>0</v>
      </c>
      <c r="T23" s="56">
        <f t="shared" si="0"/>
        <v>0</v>
      </c>
    </row>
    <row r="24" spans="1:20" ht="15.75" customHeight="1">
      <c r="A24" s="22" t="s">
        <v>326</v>
      </c>
      <c r="B24" s="20" t="s">
        <v>327</v>
      </c>
      <c r="C24" s="22" t="s">
        <v>337</v>
      </c>
      <c r="D24" s="52" t="s">
        <v>1146</v>
      </c>
      <c r="E24" s="54"/>
      <c r="F24" s="63"/>
      <c r="G24" s="54"/>
      <c r="H24" s="55"/>
      <c r="I24" s="55"/>
      <c r="J24" s="55"/>
      <c r="K24" s="55"/>
      <c r="L24" s="63"/>
      <c r="M24" s="54"/>
      <c r="N24" s="63"/>
      <c r="O24" s="54"/>
      <c r="P24" s="63"/>
      <c r="Q24" s="54"/>
      <c r="R24" s="63"/>
      <c r="S24" s="61">
        <f t="shared" si="0"/>
        <v>0</v>
      </c>
      <c r="T24" s="56">
        <f t="shared" si="0"/>
        <v>0</v>
      </c>
    </row>
    <row r="25" spans="1:20" ht="15.75" customHeight="1">
      <c r="A25" s="22" t="s">
        <v>326</v>
      </c>
      <c r="B25" s="20" t="s">
        <v>327</v>
      </c>
      <c r="C25" s="22" t="s">
        <v>338</v>
      </c>
      <c r="D25" s="52" t="s">
        <v>1147</v>
      </c>
      <c r="E25" s="54"/>
      <c r="F25" s="63"/>
      <c r="G25" s="54"/>
      <c r="H25" s="55"/>
      <c r="I25" s="55"/>
      <c r="J25" s="55"/>
      <c r="K25" s="55"/>
      <c r="L25" s="63"/>
      <c r="M25" s="54"/>
      <c r="N25" s="63"/>
      <c r="O25" s="54"/>
      <c r="P25" s="63"/>
      <c r="Q25" s="54"/>
      <c r="R25" s="63"/>
      <c r="S25" s="61">
        <f t="shared" si="0"/>
        <v>0</v>
      </c>
      <c r="T25" s="56">
        <f t="shared" si="0"/>
        <v>0</v>
      </c>
    </row>
    <row r="26" spans="1:20" ht="15.75" customHeight="1">
      <c r="A26" s="22" t="s">
        <v>326</v>
      </c>
      <c r="B26" s="20" t="s">
        <v>327</v>
      </c>
      <c r="C26" s="22" t="s">
        <v>339</v>
      </c>
      <c r="D26" s="52" t="s">
        <v>1148</v>
      </c>
      <c r="E26" s="54"/>
      <c r="F26" s="63"/>
      <c r="G26" s="54"/>
      <c r="H26" s="55"/>
      <c r="I26" s="55"/>
      <c r="J26" s="55"/>
      <c r="K26" s="55"/>
      <c r="L26" s="63"/>
      <c r="M26" s="54"/>
      <c r="N26" s="63"/>
      <c r="O26" s="54"/>
      <c r="P26" s="63"/>
      <c r="Q26" s="54"/>
      <c r="R26" s="63"/>
      <c r="S26" s="61"/>
      <c r="T26" s="56"/>
    </row>
    <row r="27" spans="1:20" s="147" customFormat="1" ht="15.75" customHeight="1">
      <c r="A27" s="148" t="s">
        <v>326</v>
      </c>
      <c r="B27" s="149" t="s">
        <v>327</v>
      </c>
      <c r="C27" s="148" t="s">
        <v>340</v>
      </c>
      <c r="D27" s="150" t="s">
        <v>1149</v>
      </c>
      <c r="E27" s="140"/>
      <c r="F27" s="141"/>
      <c r="G27" s="140"/>
      <c r="H27" s="142"/>
      <c r="I27" s="142"/>
      <c r="J27" s="142"/>
      <c r="K27" s="142"/>
      <c r="L27" s="141"/>
      <c r="M27" s="140"/>
      <c r="N27" s="141"/>
      <c r="O27" s="140"/>
      <c r="P27" s="141"/>
      <c r="Q27" s="140"/>
      <c r="R27" s="141"/>
      <c r="S27" s="151"/>
      <c r="T27" s="146"/>
    </row>
    <row r="28" spans="1:20" ht="15.75" customHeight="1">
      <c r="A28" s="22" t="s">
        <v>326</v>
      </c>
      <c r="B28" s="20" t="s">
        <v>327</v>
      </c>
      <c r="C28" s="22" t="s">
        <v>343</v>
      </c>
      <c r="D28" s="52" t="s">
        <v>1150</v>
      </c>
      <c r="E28" s="54"/>
      <c r="F28" s="63"/>
      <c r="G28" s="54"/>
      <c r="H28" s="55"/>
      <c r="I28" s="55"/>
      <c r="J28" s="55"/>
      <c r="K28" s="55"/>
      <c r="L28" s="63"/>
      <c r="M28" s="54"/>
      <c r="N28" s="63"/>
      <c r="O28" s="54"/>
      <c r="P28" s="63"/>
      <c r="Q28" s="54"/>
      <c r="R28" s="63"/>
      <c r="S28" s="61"/>
      <c r="T28" s="56"/>
    </row>
    <row r="29" spans="1:20" ht="15.75" customHeight="1">
      <c r="A29" s="22" t="s">
        <v>326</v>
      </c>
      <c r="B29" s="20" t="s">
        <v>327</v>
      </c>
      <c r="C29" s="22" t="s">
        <v>344</v>
      </c>
      <c r="D29" s="52" t="s">
        <v>1151</v>
      </c>
      <c r="E29" s="54"/>
      <c r="F29" s="63"/>
      <c r="G29" s="54"/>
      <c r="H29" s="55"/>
      <c r="I29" s="55"/>
      <c r="J29" s="55"/>
      <c r="K29" s="55"/>
      <c r="L29" s="63"/>
      <c r="M29" s="54"/>
      <c r="N29" s="63"/>
      <c r="O29" s="54"/>
      <c r="P29" s="63"/>
      <c r="Q29" s="54"/>
      <c r="R29" s="63"/>
      <c r="S29" s="61"/>
      <c r="T29" s="56"/>
    </row>
    <row r="30" spans="1:20" ht="15.75" customHeight="1">
      <c r="A30" s="22" t="s">
        <v>326</v>
      </c>
      <c r="B30" s="20" t="s">
        <v>327</v>
      </c>
      <c r="C30" s="22" t="s">
        <v>345</v>
      </c>
      <c r="D30" s="52" t="s">
        <v>1152</v>
      </c>
      <c r="E30" s="54"/>
      <c r="F30" s="63"/>
      <c r="G30" s="54"/>
      <c r="H30" s="55"/>
      <c r="I30" s="55"/>
      <c r="J30" s="55"/>
      <c r="K30" s="55"/>
      <c r="L30" s="63"/>
      <c r="M30" s="54"/>
      <c r="N30" s="63"/>
      <c r="O30" s="54"/>
      <c r="P30" s="63"/>
      <c r="Q30" s="54"/>
      <c r="R30" s="63"/>
      <c r="S30" s="61"/>
      <c r="T30" s="56"/>
    </row>
    <row r="31" spans="1:20" ht="15.75" customHeight="1">
      <c r="A31" s="22" t="s">
        <v>326</v>
      </c>
      <c r="B31" s="20" t="s">
        <v>327</v>
      </c>
      <c r="C31" s="22" t="s">
        <v>348</v>
      </c>
      <c r="D31" s="52" t="s">
        <v>1153</v>
      </c>
      <c r="E31" s="54"/>
      <c r="F31" s="63"/>
      <c r="G31" s="54"/>
      <c r="H31" s="55"/>
      <c r="I31" s="55"/>
      <c r="J31" s="55"/>
      <c r="K31" s="55"/>
      <c r="L31" s="63"/>
      <c r="M31" s="54"/>
      <c r="N31" s="63"/>
      <c r="O31" s="54"/>
      <c r="P31" s="63"/>
      <c r="Q31" s="54"/>
      <c r="R31" s="63"/>
      <c r="S31" s="61"/>
      <c r="T31" s="56"/>
    </row>
    <row r="32" spans="1:20" ht="15.75" customHeight="1">
      <c r="A32" s="22" t="s">
        <v>326</v>
      </c>
      <c r="B32" s="20" t="s">
        <v>327</v>
      </c>
      <c r="C32" s="22" t="s">
        <v>349</v>
      </c>
      <c r="D32" s="52" t="s">
        <v>1154</v>
      </c>
      <c r="E32" s="54"/>
      <c r="F32" s="63"/>
      <c r="G32" s="54"/>
      <c r="H32" s="55"/>
      <c r="I32" s="55"/>
      <c r="J32" s="55"/>
      <c r="K32" s="55"/>
      <c r="L32" s="63"/>
      <c r="M32" s="54"/>
      <c r="N32" s="63"/>
      <c r="O32" s="54"/>
      <c r="P32" s="63"/>
      <c r="Q32" s="54"/>
      <c r="R32" s="63"/>
      <c r="S32" s="61"/>
      <c r="T32" s="56"/>
    </row>
    <row r="33" spans="1:20" ht="15.75" customHeight="1">
      <c r="A33" s="22" t="s">
        <v>326</v>
      </c>
      <c r="B33" s="20" t="s">
        <v>327</v>
      </c>
      <c r="C33" s="22" t="s">
        <v>350</v>
      </c>
      <c r="D33" s="52" t="s">
        <v>1155</v>
      </c>
      <c r="E33" s="54"/>
      <c r="F33" s="63"/>
      <c r="G33" s="54"/>
      <c r="H33" s="55"/>
      <c r="I33" s="55"/>
      <c r="J33" s="55"/>
      <c r="K33" s="55"/>
      <c r="L33" s="63"/>
      <c r="M33" s="54"/>
      <c r="N33" s="63"/>
      <c r="O33" s="54"/>
      <c r="P33" s="63"/>
      <c r="Q33" s="54"/>
      <c r="R33" s="63"/>
      <c r="S33" s="61"/>
      <c r="T33" s="56"/>
    </row>
    <row r="34" spans="1:20" s="147" customFormat="1" ht="15.75" customHeight="1">
      <c r="A34" s="148" t="s">
        <v>326</v>
      </c>
      <c r="B34" s="149" t="s">
        <v>327</v>
      </c>
      <c r="C34" s="148" t="s">
        <v>308</v>
      </c>
      <c r="D34" s="150" t="s">
        <v>1156</v>
      </c>
      <c r="E34" s="140"/>
      <c r="F34" s="141"/>
      <c r="G34" s="140"/>
      <c r="H34" s="142"/>
      <c r="I34" s="142"/>
      <c r="J34" s="142"/>
      <c r="K34" s="142"/>
      <c r="L34" s="141"/>
      <c r="M34" s="140"/>
      <c r="N34" s="141"/>
      <c r="O34" s="140"/>
      <c r="P34" s="141"/>
      <c r="Q34" s="140"/>
      <c r="R34" s="141"/>
      <c r="S34" s="151"/>
      <c r="T34" s="146"/>
    </row>
    <row r="35" spans="1:20" s="147" customFormat="1" ht="15.75" customHeight="1">
      <c r="A35" s="148" t="s">
        <v>326</v>
      </c>
      <c r="B35" s="149" t="s">
        <v>327</v>
      </c>
      <c r="C35" s="148" t="s">
        <v>309</v>
      </c>
      <c r="D35" s="150" t="s">
        <v>1157</v>
      </c>
      <c r="E35" s="140"/>
      <c r="F35" s="141"/>
      <c r="G35" s="140"/>
      <c r="H35" s="142"/>
      <c r="I35" s="142"/>
      <c r="J35" s="142"/>
      <c r="K35" s="142"/>
      <c r="L35" s="141"/>
      <c r="M35" s="140"/>
      <c r="N35" s="141"/>
      <c r="O35" s="140"/>
      <c r="P35" s="141"/>
      <c r="Q35" s="140"/>
      <c r="R35" s="141"/>
      <c r="S35" s="151"/>
      <c r="T35" s="146"/>
    </row>
    <row r="36" spans="1:20" s="147" customFormat="1" ht="15.75" customHeight="1">
      <c r="A36" s="148" t="s">
        <v>326</v>
      </c>
      <c r="B36" s="149" t="s">
        <v>327</v>
      </c>
      <c r="C36" s="148" t="s">
        <v>341</v>
      </c>
      <c r="D36" s="150" t="s">
        <v>1158</v>
      </c>
      <c r="E36" s="140"/>
      <c r="F36" s="141"/>
      <c r="G36" s="140"/>
      <c r="H36" s="142"/>
      <c r="I36" s="142"/>
      <c r="J36" s="142"/>
      <c r="K36" s="142"/>
      <c r="L36" s="141"/>
      <c r="M36" s="140"/>
      <c r="N36" s="141"/>
      <c r="O36" s="140"/>
      <c r="P36" s="141"/>
      <c r="Q36" s="140"/>
      <c r="R36" s="141"/>
      <c r="S36" s="151"/>
      <c r="T36" s="146"/>
    </row>
    <row r="37" spans="1:20" ht="15.75" customHeight="1">
      <c r="A37" s="22" t="s">
        <v>326</v>
      </c>
      <c r="B37" s="20" t="s">
        <v>327</v>
      </c>
      <c r="C37" s="22" t="s">
        <v>342</v>
      </c>
      <c r="D37" s="52" t="s">
        <v>1159</v>
      </c>
      <c r="E37" s="54"/>
      <c r="F37" s="63"/>
      <c r="G37" s="54"/>
      <c r="H37" s="55"/>
      <c r="I37" s="55"/>
      <c r="J37" s="55"/>
      <c r="K37" s="55"/>
      <c r="L37" s="63"/>
      <c r="M37" s="54"/>
      <c r="N37" s="63"/>
      <c r="O37" s="54"/>
      <c r="P37" s="63"/>
      <c r="Q37" s="54"/>
      <c r="R37" s="63"/>
      <c r="S37" s="61"/>
      <c r="T37" s="56"/>
    </row>
    <row r="38" spans="1:20" ht="15.75" customHeight="1">
      <c r="A38" s="22" t="s">
        <v>326</v>
      </c>
      <c r="B38" s="20" t="s">
        <v>327</v>
      </c>
      <c r="C38" s="22" t="s">
        <v>347</v>
      </c>
      <c r="D38" s="52" t="s">
        <v>1160</v>
      </c>
      <c r="E38" s="54"/>
      <c r="F38" s="63"/>
      <c r="G38" s="54"/>
      <c r="H38" s="55"/>
      <c r="I38" s="55"/>
      <c r="J38" s="55"/>
      <c r="K38" s="55"/>
      <c r="L38" s="63"/>
      <c r="M38" s="54"/>
      <c r="N38" s="63"/>
      <c r="O38" s="54"/>
      <c r="P38" s="63"/>
      <c r="Q38" s="54"/>
      <c r="R38" s="63"/>
      <c r="S38" s="61"/>
      <c r="T38" s="56"/>
    </row>
    <row r="39" spans="1:20" ht="15.75" customHeight="1">
      <c r="A39" s="22" t="s">
        <v>326</v>
      </c>
      <c r="B39" s="20" t="s">
        <v>327</v>
      </c>
      <c r="C39" s="22" t="s">
        <v>351</v>
      </c>
      <c r="D39" s="52" t="s">
        <v>1161</v>
      </c>
      <c r="E39" s="54"/>
      <c r="F39" s="63"/>
      <c r="G39" s="54"/>
      <c r="H39" s="55"/>
      <c r="I39" s="55"/>
      <c r="J39" s="55"/>
      <c r="K39" s="55"/>
      <c r="L39" s="63"/>
      <c r="M39" s="54"/>
      <c r="N39" s="63"/>
      <c r="O39" s="54"/>
      <c r="P39" s="63"/>
      <c r="Q39" s="54"/>
      <c r="R39" s="63"/>
      <c r="S39" s="61"/>
      <c r="T39" s="56"/>
    </row>
    <row r="40" spans="1:20" ht="15.75" customHeight="1">
      <c r="A40" s="22" t="s">
        <v>326</v>
      </c>
      <c r="B40" s="20" t="s">
        <v>327</v>
      </c>
      <c r="C40" s="22" t="s">
        <v>346</v>
      </c>
      <c r="D40" s="52" t="s">
        <v>1162</v>
      </c>
      <c r="E40" s="54"/>
      <c r="F40" s="63"/>
      <c r="G40" s="54"/>
      <c r="H40" s="55"/>
      <c r="I40" s="55"/>
      <c r="J40" s="55"/>
      <c r="K40" s="55"/>
      <c r="L40" s="63"/>
      <c r="M40" s="54"/>
      <c r="N40" s="63"/>
      <c r="O40" s="54"/>
      <c r="P40" s="63"/>
      <c r="Q40" s="54"/>
      <c r="R40" s="63"/>
      <c r="S40" s="61"/>
      <c r="T40" s="56"/>
    </row>
    <row r="41" spans="1:20" ht="15.75" customHeight="1">
      <c r="A41" s="22" t="s">
        <v>326</v>
      </c>
      <c r="B41" s="20" t="s">
        <v>327</v>
      </c>
      <c r="C41" s="22" t="s">
        <v>352</v>
      </c>
      <c r="D41" s="52" t="s">
        <v>1163</v>
      </c>
      <c r="E41" s="54"/>
      <c r="F41" s="63"/>
      <c r="G41" s="54"/>
      <c r="H41" s="55"/>
      <c r="I41" s="55"/>
      <c r="J41" s="55"/>
      <c r="K41" s="55"/>
      <c r="L41" s="63"/>
      <c r="M41" s="54"/>
      <c r="N41" s="63"/>
      <c r="O41" s="54"/>
      <c r="P41" s="63"/>
      <c r="Q41" s="54"/>
      <c r="R41" s="63"/>
      <c r="S41" s="61"/>
      <c r="T41" s="56"/>
    </row>
    <row r="42" spans="1:20" s="147" customFormat="1" ht="15.75" customHeight="1">
      <c r="A42" s="148" t="s">
        <v>326</v>
      </c>
      <c r="B42" s="149" t="s">
        <v>328</v>
      </c>
      <c r="C42" s="148" t="s">
        <v>353</v>
      </c>
      <c r="D42" s="150" t="s">
        <v>1164</v>
      </c>
      <c r="E42" s="140"/>
      <c r="F42" s="141"/>
      <c r="G42" s="140"/>
      <c r="H42" s="142"/>
      <c r="I42" s="142"/>
      <c r="J42" s="142"/>
      <c r="K42" s="142"/>
      <c r="L42" s="141"/>
      <c r="M42" s="140"/>
      <c r="N42" s="141"/>
      <c r="O42" s="140"/>
      <c r="P42" s="141"/>
      <c r="Q42" s="140"/>
      <c r="R42" s="141"/>
      <c r="S42" s="151"/>
      <c r="T42" s="146"/>
    </row>
    <row r="43" spans="1:20" s="147" customFormat="1" ht="15.75" customHeight="1">
      <c r="A43" s="148" t="s">
        <v>326</v>
      </c>
      <c r="B43" s="149" t="s">
        <v>328</v>
      </c>
      <c r="C43" s="148" t="s">
        <v>354</v>
      </c>
      <c r="D43" s="150" t="s">
        <v>1165</v>
      </c>
      <c r="E43" s="140"/>
      <c r="F43" s="141"/>
      <c r="G43" s="140"/>
      <c r="H43" s="142"/>
      <c r="I43" s="142"/>
      <c r="J43" s="142"/>
      <c r="K43" s="142"/>
      <c r="L43" s="141"/>
      <c r="M43" s="140"/>
      <c r="N43" s="141"/>
      <c r="O43" s="140"/>
      <c r="P43" s="141"/>
      <c r="Q43" s="140"/>
      <c r="R43" s="141"/>
      <c r="S43" s="151"/>
      <c r="T43" s="146"/>
    </row>
    <row r="44" spans="1:20" ht="15.75" customHeight="1">
      <c r="A44" s="22" t="s">
        <v>326</v>
      </c>
      <c r="B44" s="20" t="s">
        <v>328</v>
      </c>
      <c r="C44" s="22" t="s">
        <v>355</v>
      </c>
      <c r="D44" s="52" t="s">
        <v>1166</v>
      </c>
      <c r="E44" s="54"/>
      <c r="F44" s="63"/>
      <c r="G44" s="54"/>
      <c r="H44" s="55"/>
      <c r="I44" s="55"/>
      <c r="J44" s="55"/>
      <c r="K44" s="55"/>
      <c r="L44" s="63"/>
      <c r="M44" s="54"/>
      <c r="N44" s="63"/>
      <c r="O44" s="54"/>
      <c r="P44" s="63"/>
      <c r="Q44" s="54"/>
      <c r="R44" s="63"/>
      <c r="S44" s="61"/>
      <c r="T44" s="56"/>
    </row>
    <row r="45" spans="1:20" ht="15.75" customHeight="1">
      <c r="A45" s="22" t="s">
        <v>326</v>
      </c>
      <c r="B45" s="20" t="s">
        <v>328</v>
      </c>
      <c r="C45" s="22" t="s">
        <v>356</v>
      </c>
      <c r="D45" s="52" t="s">
        <v>1167</v>
      </c>
      <c r="E45" s="54"/>
      <c r="F45" s="63"/>
      <c r="G45" s="54"/>
      <c r="H45" s="55"/>
      <c r="I45" s="55"/>
      <c r="J45" s="55"/>
      <c r="K45" s="55"/>
      <c r="L45" s="63"/>
      <c r="M45" s="54"/>
      <c r="N45" s="63"/>
      <c r="O45" s="54"/>
      <c r="P45" s="63"/>
      <c r="Q45" s="54"/>
      <c r="R45" s="63"/>
      <c r="S45" s="61"/>
      <c r="T45" s="56"/>
    </row>
    <row r="46" spans="1:20" ht="15.75" customHeight="1">
      <c r="A46" s="22" t="s">
        <v>326</v>
      </c>
      <c r="B46" s="20" t="s">
        <v>328</v>
      </c>
      <c r="C46" s="22" t="s">
        <v>357</v>
      </c>
      <c r="D46" s="52" t="s">
        <v>1168</v>
      </c>
      <c r="E46" s="54"/>
      <c r="F46" s="63"/>
      <c r="G46" s="54"/>
      <c r="H46" s="55"/>
      <c r="I46" s="55"/>
      <c r="J46" s="55"/>
      <c r="K46" s="55"/>
      <c r="L46" s="63"/>
      <c r="M46" s="54"/>
      <c r="N46" s="63"/>
      <c r="O46" s="54"/>
      <c r="P46" s="63"/>
      <c r="Q46" s="54"/>
      <c r="R46" s="63"/>
      <c r="S46" s="61"/>
      <c r="T46" s="56"/>
    </row>
    <row r="47" spans="1:20" ht="15.75" customHeight="1">
      <c r="A47" s="22" t="s">
        <v>21</v>
      </c>
      <c r="B47" s="20" t="s">
        <v>310</v>
      </c>
      <c r="C47" s="22" t="s">
        <v>310</v>
      </c>
      <c r="D47" s="52" t="s">
        <v>1169</v>
      </c>
      <c r="E47" s="54"/>
      <c r="F47" s="63"/>
      <c r="G47" s="54"/>
      <c r="H47" s="55"/>
      <c r="I47" s="55"/>
      <c r="J47" s="55"/>
      <c r="K47" s="55"/>
      <c r="L47" s="63"/>
      <c r="M47" s="54"/>
      <c r="N47" s="63"/>
      <c r="O47" s="54"/>
      <c r="P47" s="63"/>
      <c r="Q47" s="54"/>
      <c r="R47" s="63"/>
      <c r="S47" s="61"/>
      <c r="T47" s="56"/>
    </row>
    <row r="48" spans="1:20" ht="15.75" customHeight="1">
      <c r="A48" s="22" t="s">
        <v>21</v>
      </c>
      <c r="B48" s="20" t="s">
        <v>311</v>
      </c>
      <c r="C48" s="22" t="s">
        <v>311</v>
      </c>
      <c r="D48" s="52" t="s">
        <v>1170</v>
      </c>
      <c r="E48" s="54"/>
      <c r="F48" s="63"/>
      <c r="G48" s="54"/>
      <c r="H48" s="55"/>
      <c r="I48" s="55"/>
      <c r="J48" s="55"/>
      <c r="K48" s="55"/>
      <c r="L48" s="63"/>
      <c r="M48" s="54"/>
      <c r="N48" s="63"/>
      <c r="O48" s="54"/>
      <c r="P48" s="63"/>
      <c r="Q48" s="54"/>
      <c r="R48" s="63"/>
      <c r="S48" s="61"/>
      <c r="T48" s="56"/>
    </row>
    <row r="49" spans="1:20" ht="15.75" customHeight="1">
      <c r="A49" s="22" t="s">
        <v>21</v>
      </c>
      <c r="B49" s="20" t="s">
        <v>312</v>
      </c>
      <c r="C49" s="22" t="s">
        <v>312</v>
      </c>
      <c r="D49" s="52" t="s">
        <v>1171</v>
      </c>
      <c r="E49" s="54"/>
      <c r="F49" s="63"/>
      <c r="G49" s="54"/>
      <c r="H49" s="55"/>
      <c r="I49" s="55"/>
      <c r="J49" s="55"/>
      <c r="K49" s="55"/>
      <c r="L49" s="63"/>
      <c r="M49" s="54"/>
      <c r="N49" s="63"/>
      <c r="O49" s="54"/>
      <c r="P49" s="63"/>
      <c r="Q49" s="54"/>
      <c r="R49" s="63"/>
      <c r="S49" s="61"/>
      <c r="T49" s="56"/>
    </row>
    <row r="50" spans="1:20" ht="15.75" customHeight="1">
      <c r="A50" s="22" t="s">
        <v>21</v>
      </c>
      <c r="B50" s="20" t="s">
        <v>472</v>
      </c>
      <c r="C50" s="22" t="s">
        <v>472</v>
      </c>
      <c r="D50" s="52" t="s">
        <v>1172</v>
      </c>
      <c r="E50" s="54"/>
      <c r="F50" s="63"/>
      <c r="G50" s="54"/>
      <c r="H50" s="55"/>
      <c r="I50" s="55"/>
      <c r="J50" s="55"/>
      <c r="K50" s="55"/>
      <c r="L50" s="63"/>
      <c r="M50" s="54"/>
      <c r="N50" s="63"/>
      <c r="O50" s="54"/>
      <c r="P50" s="63"/>
      <c r="Q50" s="54"/>
      <c r="R50" s="63"/>
      <c r="S50" s="61"/>
      <c r="T50" s="56"/>
    </row>
    <row r="51" spans="1:20" ht="15.75" customHeight="1">
      <c r="A51" s="22" t="s">
        <v>416</v>
      </c>
      <c r="B51" s="20" t="s">
        <v>383</v>
      </c>
      <c r="C51" s="22" t="s">
        <v>385</v>
      </c>
      <c r="D51" s="52" t="s">
        <v>1173</v>
      </c>
      <c r="E51" s="54"/>
      <c r="F51" s="63"/>
      <c r="G51" s="54"/>
      <c r="H51" s="55"/>
      <c r="I51" s="55"/>
      <c r="J51" s="55"/>
      <c r="K51" s="55"/>
      <c r="L51" s="63"/>
      <c r="M51" s="54"/>
      <c r="N51" s="63"/>
      <c r="O51" s="54"/>
      <c r="P51" s="63"/>
      <c r="Q51" s="54"/>
      <c r="R51" s="63"/>
      <c r="S51" s="61"/>
      <c r="T51" s="56"/>
    </row>
    <row r="52" spans="1:20" ht="15.75" customHeight="1">
      <c r="A52" s="22" t="s">
        <v>416</v>
      </c>
      <c r="B52" s="20" t="s">
        <v>383</v>
      </c>
      <c r="C52" s="22" t="s">
        <v>384</v>
      </c>
      <c r="D52" s="52" t="s">
        <v>1174</v>
      </c>
      <c r="E52" s="54"/>
      <c r="F52" s="63"/>
      <c r="G52" s="54"/>
      <c r="H52" s="55"/>
      <c r="I52" s="55"/>
      <c r="J52" s="55"/>
      <c r="K52" s="55"/>
      <c r="L52" s="63"/>
      <c r="M52" s="54"/>
      <c r="N52" s="63"/>
      <c r="O52" s="54"/>
      <c r="P52" s="63"/>
      <c r="Q52" s="54"/>
      <c r="R52" s="63"/>
      <c r="S52" s="61"/>
      <c r="T52" s="56"/>
    </row>
    <row r="53" spans="1:20" ht="15.75" customHeight="1">
      <c r="A53" s="22" t="s">
        <v>416</v>
      </c>
      <c r="B53" s="20" t="s">
        <v>383</v>
      </c>
      <c r="C53" s="22" t="s">
        <v>386</v>
      </c>
      <c r="D53" s="52" t="s">
        <v>1175</v>
      </c>
      <c r="E53" s="54"/>
      <c r="F53" s="63"/>
      <c r="G53" s="54"/>
      <c r="H53" s="55"/>
      <c r="I53" s="55"/>
      <c r="J53" s="55"/>
      <c r="K53" s="55"/>
      <c r="L53" s="63"/>
      <c r="M53" s="54"/>
      <c r="N53" s="63"/>
      <c r="O53" s="54"/>
      <c r="P53" s="63"/>
      <c r="Q53" s="54"/>
      <c r="R53" s="63"/>
      <c r="S53" s="61"/>
      <c r="T53" s="56"/>
    </row>
    <row r="54" spans="1:20" ht="15.75" customHeight="1">
      <c r="A54" s="22" t="s">
        <v>416</v>
      </c>
      <c r="B54" s="20" t="s">
        <v>383</v>
      </c>
      <c r="C54" s="22" t="s">
        <v>423</v>
      </c>
      <c r="D54" s="52" t="s">
        <v>1176</v>
      </c>
      <c r="E54" s="54"/>
      <c r="F54" s="63"/>
      <c r="G54" s="54"/>
      <c r="H54" s="55"/>
      <c r="I54" s="55"/>
      <c r="J54" s="55"/>
      <c r="K54" s="55"/>
      <c r="L54" s="63"/>
      <c r="M54" s="54"/>
      <c r="N54" s="63"/>
      <c r="O54" s="54"/>
      <c r="P54" s="63"/>
      <c r="Q54" s="54"/>
      <c r="R54" s="63"/>
      <c r="S54" s="61"/>
      <c r="T54" s="56"/>
    </row>
    <row r="55" spans="1:20" ht="15.75" customHeight="1">
      <c r="A55" s="22" t="s">
        <v>416</v>
      </c>
      <c r="B55" s="20" t="s">
        <v>383</v>
      </c>
      <c r="C55" s="22" t="s">
        <v>387</v>
      </c>
      <c r="D55" s="52" t="s">
        <v>1177</v>
      </c>
      <c r="E55" s="54"/>
      <c r="F55" s="63"/>
      <c r="G55" s="54"/>
      <c r="H55" s="55"/>
      <c r="I55" s="55"/>
      <c r="J55" s="55"/>
      <c r="K55" s="55"/>
      <c r="L55" s="63"/>
      <c r="M55" s="54"/>
      <c r="N55" s="63"/>
      <c r="O55" s="54"/>
      <c r="P55" s="63"/>
      <c r="Q55" s="54"/>
      <c r="R55" s="63"/>
      <c r="S55" s="61"/>
      <c r="T55" s="56"/>
    </row>
    <row r="56" spans="1:20" ht="15.75" customHeight="1">
      <c r="A56" s="22" t="s">
        <v>1340</v>
      </c>
      <c r="B56" s="20" t="s">
        <v>1341</v>
      </c>
      <c r="C56" s="22" t="s">
        <v>358</v>
      </c>
      <c r="D56" s="52" t="s">
        <v>1178</v>
      </c>
      <c r="E56" s="54"/>
      <c r="F56" s="63"/>
      <c r="G56" s="54"/>
      <c r="H56" s="55"/>
      <c r="I56" s="55"/>
      <c r="J56" s="55"/>
      <c r="K56" s="55"/>
      <c r="L56" s="63"/>
      <c r="M56" s="54"/>
      <c r="N56" s="63"/>
      <c r="O56" s="54"/>
      <c r="P56" s="63"/>
      <c r="Q56" s="54"/>
      <c r="R56" s="63"/>
      <c r="S56" s="61"/>
      <c r="T56" s="56"/>
    </row>
    <row r="57" spans="1:20" ht="15.75" customHeight="1">
      <c r="A57" s="22" t="s">
        <v>1340</v>
      </c>
      <c r="B57" s="20" t="s">
        <v>1341</v>
      </c>
      <c r="C57" s="22" t="s">
        <v>359</v>
      </c>
      <c r="D57" s="52" t="s">
        <v>1179</v>
      </c>
      <c r="E57" s="54"/>
      <c r="F57" s="63"/>
      <c r="G57" s="54"/>
      <c r="H57" s="55"/>
      <c r="I57" s="55"/>
      <c r="J57" s="55"/>
      <c r="K57" s="55"/>
      <c r="L57" s="63"/>
      <c r="M57" s="54"/>
      <c r="N57" s="63"/>
      <c r="O57" s="54"/>
      <c r="P57" s="63"/>
      <c r="Q57" s="54"/>
      <c r="R57" s="63"/>
      <c r="S57" s="61"/>
      <c r="T57" s="56"/>
    </row>
    <row r="58" spans="1:20" s="147" customFormat="1" ht="15.75" customHeight="1">
      <c r="A58" s="148" t="s">
        <v>1340</v>
      </c>
      <c r="B58" s="149" t="s">
        <v>1341</v>
      </c>
      <c r="C58" s="148" t="s">
        <v>360</v>
      </c>
      <c r="D58" s="150" t="s">
        <v>1180</v>
      </c>
      <c r="E58" s="140"/>
      <c r="F58" s="141"/>
      <c r="G58" s="140"/>
      <c r="H58" s="142"/>
      <c r="I58" s="142"/>
      <c r="J58" s="142"/>
      <c r="K58" s="142"/>
      <c r="L58" s="141"/>
      <c r="M58" s="140"/>
      <c r="N58" s="141"/>
      <c r="O58" s="140"/>
      <c r="P58" s="141"/>
      <c r="Q58" s="140"/>
      <c r="R58" s="141"/>
      <c r="S58" s="151"/>
      <c r="T58" s="146"/>
    </row>
    <row r="59" spans="1:20" s="147" customFormat="1" ht="15.75" customHeight="1">
      <c r="A59" s="148" t="s">
        <v>1340</v>
      </c>
      <c r="B59" s="149" t="s">
        <v>1341</v>
      </c>
      <c r="C59" s="148" t="s">
        <v>361</v>
      </c>
      <c r="D59" s="150" t="s">
        <v>1181</v>
      </c>
      <c r="E59" s="140"/>
      <c r="F59" s="141"/>
      <c r="G59" s="140"/>
      <c r="H59" s="142"/>
      <c r="I59" s="142"/>
      <c r="J59" s="142"/>
      <c r="K59" s="142"/>
      <c r="L59" s="141"/>
      <c r="M59" s="140"/>
      <c r="N59" s="141"/>
      <c r="O59" s="140"/>
      <c r="P59" s="141"/>
      <c r="Q59" s="140"/>
      <c r="R59" s="141"/>
      <c r="S59" s="151"/>
      <c r="T59" s="146"/>
    </row>
    <row r="60" spans="1:20" s="147" customFormat="1" ht="15.75" customHeight="1">
      <c r="A60" s="148" t="s">
        <v>1340</v>
      </c>
      <c r="B60" s="149" t="s">
        <v>1341</v>
      </c>
      <c r="C60" s="148" t="s">
        <v>362</v>
      </c>
      <c r="D60" s="150" t="s">
        <v>1182</v>
      </c>
      <c r="E60" s="140"/>
      <c r="F60" s="141"/>
      <c r="G60" s="140"/>
      <c r="H60" s="142"/>
      <c r="I60" s="142"/>
      <c r="J60" s="142"/>
      <c r="K60" s="142"/>
      <c r="L60" s="141"/>
      <c r="M60" s="140"/>
      <c r="N60" s="141"/>
      <c r="O60" s="140"/>
      <c r="P60" s="141"/>
      <c r="Q60" s="140"/>
      <c r="R60" s="141"/>
      <c r="S60" s="151"/>
      <c r="T60" s="146"/>
    </row>
    <row r="61" spans="1:20" ht="15.75" customHeight="1">
      <c r="A61" s="22" t="s">
        <v>1340</v>
      </c>
      <c r="B61" s="20" t="s">
        <v>1341</v>
      </c>
      <c r="C61" s="22" t="s">
        <v>363</v>
      </c>
      <c r="D61" s="52" t="s">
        <v>1183</v>
      </c>
      <c r="E61" s="54"/>
      <c r="F61" s="63"/>
      <c r="G61" s="54"/>
      <c r="H61" s="55"/>
      <c r="I61" s="55"/>
      <c r="J61" s="55"/>
      <c r="K61" s="55"/>
      <c r="L61" s="63"/>
      <c r="M61" s="54"/>
      <c r="N61" s="63"/>
      <c r="O61" s="54"/>
      <c r="P61" s="63"/>
      <c r="Q61" s="54"/>
      <c r="R61" s="63"/>
      <c r="S61" s="61"/>
      <c r="T61" s="56"/>
    </row>
    <row r="62" spans="1:20" ht="15.75" customHeight="1">
      <c r="A62" s="22" t="s">
        <v>1340</v>
      </c>
      <c r="B62" s="20" t="s">
        <v>1341</v>
      </c>
      <c r="C62" s="22" t="s">
        <v>364</v>
      </c>
      <c r="D62" s="52" t="s">
        <v>1184</v>
      </c>
      <c r="E62" s="54"/>
      <c r="F62" s="63"/>
      <c r="G62" s="54"/>
      <c r="H62" s="55"/>
      <c r="I62" s="55"/>
      <c r="J62" s="55"/>
      <c r="K62" s="55"/>
      <c r="L62" s="63"/>
      <c r="M62" s="54"/>
      <c r="N62" s="63"/>
      <c r="O62" s="54"/>
      <c r="P62" s="63"/>
      <c r="Q62" s="54"/>
      <c r="R62" s="63"/>
      <c r="S62" s="61"/>
      <c r="T62" s="56"/>
    </row>
    <row r="63" spans="1:20" s="147" customFormat="1" ht="15.75" customHeight="1">
      <c r="A63" s="148" t="s">
        <v>1340</v>
      </c>
      <c r="B63" s="149" t="s">
        <v>1341</v>
      </c>
      <c r="C63" s="148" t="s">
        <v>365</v>
      </c>
      <c r="D63" s="150" t="s">
        <v>1185</v>
      </c>
      <c r="E63" s="140"/>
      <c r="F63" s="141"/>
      <c r="G63" s="140"/>
      <c r="H63" s="142"/>
      <c r="I63" s="142"/>
      <c r="J63" s="142"/>
      <c r="K63" s="142"/>
      <c r="L63" s="141"/>
      <c r="M63" s="140"/>
      <c r="N63" s="141"/>
      <c r="O63" s="140"/>
      <c r="P63" s="141"/>
      <c r="Q63" s="140"/>
      <c r="R63" s="141"/>
      <c r="S63" s="151"/>
      <c r="T63" s="146"/>
    </row>
    <row r="64" spans="1:20" s="147" customFormat="1" ht="15.75" customHeight="1">
      <c r="A64" s="148" t="s">
        <v>1340</v>
      </c>
      <c r="B64" s="149" t="s">
        <v>1341</v>
      </c>
      <c r="C64" s="148" t="s">
        <v>366</v>
      </c>
      <c r="D64" s="150" t="s">
        <v>1186</v>
      </c>
      <c r="E64" s="140"/>
      <c r="F64" s="141"/>
      <c r="G64" s="140"/>
      <c r="H64" s="142"/>
      <c r="I64" s="142"/>
      <c r="J64" s="142"/>
      <c r="K64" s="142"/>
      <c r="L64" s="141"/>
      <c r="M64" s="140"/>
      <c r="N64" s="141"/>
      <c r="O64" s="140"/>
      <c r="P64" s="141"/>
      <c r="Q64" s="140"/>
      <c r="R64" s="141"/>
      <c r="S64" s="151"/>
      <c r="T64" s="146"/>
    </row>
    <row r="65" spans="1:20" ht="15.75" customHeight="1">
      <c r="A65" s="22" t="s">
        <v>1340</v>
      </c>
      <c r="B65" s="20" t="s">
        <v>1341</v>
      </c>
      <c r="C65" s="22" t="s">
        <v>367</v>
      </c>
      <c r="D65" s="52" t="s">
        <v>1187</v>
      </c>
      <c r="E65" s="54"/>
      <c r="F65" s="63"/>
      <c r="G65" s="54"/>
      <c r="H65" s="55"/>
      <c r="I65" s="55"/>
      <c r="J65" s="55"/>
      <c r="K65" s="55"/>
      <c r="L65" s="63"/>
      <c r="M65" s="54"/>
      <c r="N65" s="63"/>
      <c r="O65" s="54"/>
      <c r="P65" s="63"/>
      <c r="Q65" s="54"/>
      <c r="R65" s="63"/>
      <c r="S65" s="61"/>
      <c r="T65" s="56"/>
    </row>
    <row r="66" spans="1:20" ht="15.75" customHeight="1">
      <c r="A66" s="22" t="s">
        <v>1340</v>
      </c>
      <c r="B66" s="20" t="s">
        <v>1341</v>
      </c>
      <c r="C66" s="22" t="s">
        <v>368</v>
      </c>
      <c r="D66" s="52" t="s">
        <v>1188</v>
      </c>
      <c r="E66" s="54"/>
      <c r="F66" s="63"/>
      <c r="G66" s="54"/>
      <c r="H66" s="55"/>
      <c r="I66" s="55"/>
      <c r="J66" s="55"/>
      <c r="K66" s="55"/>
      <c r="L66" s="63"/>
      <c r="M66" s="54"/>
      <c r="N66" s="63"/>
      <c r="O66" s="54"/>
      <c r="P66" s="63"/>
      <c r="Q66" s="54"/>
      <c r="R66" s="63"/>
      <c r="S66" s="61"/>
      <c r="T66" s="56"/>
    </row>
    <row r="67" spans="1:20" ht="15.75" customHeight="1">
      <c r="A67" s="22" t="s">
        <v>1340</v>
      </c>
      <c r="B67" s="20" t="s">
        <v>1341</v>
      </c>
      <c r="C67" s="22" t="s">
        <v>369</v>
      </c>
      <c r="D67" s="52" t="s">
        <v>1189</v>
      </c>
      <c r="E67" s="54"/>
      <c r="F67" s="63"/>
      <c r="G67" s="54"/>
      <c r="H67" s="55"/>
      <c r="I67" s="55"/>
      <c r="J67" s="55"/>
      <c r="K67" s="55"/>
      <c r="L67" s="63"/>
      <c r="M67" s="54"/>
      <c r="N67" s="63"/>
      <c r="O67" s="54"/>
      <c r="P67" s="63"/>
      <c r="Q67" s="54"/>
      <c r="R67" s="63"/>
      <c r="S67" s="61"/>
      <c r="T67" s="56"/>
    </row>
    <row r="68" spans="1:20" s="147" customFormat="1" ht="15.75" customHeight="1">
      <c r="A68" s="148" t="s">
        <v>1340</v>
      </c>
      <c r="B68" s="149" t="s">
        <v>1341</v>
      </c>
      <c r="C68" s="148" t="s">
        <v>370</v>
      </c>
      <c r="D68" s="150" t="s">
        <v>1190</v>
      </c>
      <c r="E68" s="140"/>
      <c r="F68" s="141"/>
      <c r="G68" s="140"/>
      <c r="H68" s="142"/>
      <c r="I68" s="142"/>
      <c r="J68" s="142"/>
      <c r="K68" s="142"/>
      <c r="L68" s="141"/>
      <c r="M68" s="140"/>
      <c r="N68" s="141"/>
      <c r="O68" s="140"/>
      <c r="P68" s="141"/>
      <c r="Q68" s="140"/>
      <c r="R68" s="141"/>
      <c r="S68" s="151"/>
      <c r="T68" s="146"/>
    </row>
    <row r="69" spans="1:20" s="147" customFormat="1" ht="15.75" customHeight="1">
      <c r="A69" s="148" t="s">
        <v>1340</v>
      </c>
      <c r="B69" s="149" t="s">
        <v>1341</v>
      </c>
      <c r="C69" s="148" t="s">
        <v>371</v>
      </c>
      <c r="D69" s="150" t="s">
        <v>1191</v>
      </c>
      <c r="E69" s="140"/>
      <c r="F69" s="141"/>
      <c r="G69" s="140"/>
      <c r="H69" s="142"/>
      <c r="I69" s="142"/>
      <c r="J69" s="142"/>
      <c r="K69" s="142"/>
      <c r="L69" s="141"/>
      <c r="M69" s="140"/>
      <c r="N69" s="141"/>
      <c r="O69" s="140"/>
      <c r="P69" s="141"/>
      <c r="Q69" s="140"/>
      <c r="R69" s="141"/>
      <c r="S69" s="151"/>
      <c r="T69" s="146"/>
    </row>
    <row r="70" spans="1:20" ht="15.75" customHeight="1">
      <c r="A70" s="22" t="s">
        <v>1340</v>
      </c>
      <c r="B70" s="20" t="s">
        <v>1341</v>
      </c>
      <c r="C70" s="22" t="s">
        <v>372</v>
      </c>
      <c r="D70" s="52" t="s">
        <v>1192</v>
      </c>
      <c r="E70" s="54"/>
      <c r="F70" s="63"/>
      <c r="G70" s="54"/>
      <c r="H70" s="55"/>
      <c r="I70" s="55"/>
      <c r="J70" s="55"/>
      <c r="K70" s="55"/>
      <c r="L70" s="63"/>
      <c r="M70" s="54"/>
      <c r="N70" s="63"/>
      <c r="O70" s="54"/>
      <c r="P70" s="63"/>
      <c r="Q70" s="54"/>
      <c r="R70" s="63"/>
      <c r="S70" s="61"/>
      <c r="T70" s="56"/>
    </row>
    <row r="71" spans="1:20" s="147" customFormat="1" ht="15.75" customHeight="1">
      <c r="A71" s="148" t="s">
        <v>1340</v>
      </c>
      <c r="B71" s="149" t="s">
        <v>1341</v>
      </c>
      <c r="C71" s="148" t="s">
        <v>373</v>
      </c>
      <c r="D71" s="150" t="s">
        <v>1193</v>
      </c>
      <c r="E71" s="140"/>
      <c r="F71" s="141"/>
      <c r="G71" s="140"/>
      <c r="H71" s="142"/>
      <c r="I71" s="142"/>
      <c r="J71" s="142"/>
      <c r="K71" s="142"/>
      <c r="L71" s="141"/>
      <c r="M71" s="140"/>
      <c r="N71" s="141"/>
      <c r="O71" s="140"/>
      <c r="P71" s="141"/>
      <c r="Q71" s="140"/>
      <c r="R71" s="141"/>
      <c r="S71" s="151"/>
      <c r="T71" s="146"/>
    </row>
    <row r="72" spans="1:20" s="147" customFormat="1" ht="15.75" customHeight="1">
      <c r="A72" s="148" t="s">
        <v>1340</v>
      </c>
      <c r="B72" s="149" t="s">
        <v>1341</v>
      </c>
      <c r="C72" s="148" t="s">
        <v>374</v>
      </c>
      <c r="D72" s="150" t="s">
        <v>1194</v>
      </c>
      <c r="E72" s="140"/>
      <c r="F72" s="141"/>
      <c r="G72" s="140"/>
      <c r="H72" s="142"/>
      <c r="I72" s="142"/>
      <c r="J72" s="142"/>
      <c r="K72" s="142"/>
      <c r="L72" s="141"/>
      <c r="M72" s="140"/>
      <c r="N72" s="141"/>
      <c r="O72" s="140"/>
      <c r="P72" s="141"/>
      <c r="Q72" s="140"/>
      <c r="R72" s="141"/>
      <c r="S72" s="151"/>
      <c r="T72" s="146"/>
    </row>
    <row r="73" spans="1:20" ht="15.75" customHeight="1">
      <c r="A73" s="22" t="s">
        <v>1340</v>
      </c>
      <c r="B73" s="20" t="s">
        <v>1341</v>
      </c>
      <c r="C73" s="22" t="s">
        <v>375</v>
      </c>
      <c r="D73" s="52" t="s">
        <v>1195</v>
      </c>
      <c r="E73" s="54"/>
      <c r="F73" s="63"/>
      <c r="G73" s="54"/>
      <c r="H73" s="55"/>
      <c r="I73" s="55"/>
      <c r="J73" s="55"/>
      <c r="K73" s="55"/>
      <c r="L73" s="63"/>
      <c r="M73" s="54"/>
      <c r="N73" s="63"/>
      <c r="O73" s="54"/>
      <c r="P73" s="63"/>
      <c r="Q73" s="54"/>
      <c r="R73" s="63"/>
      <c r="S73" s="61"/>
      <c r="T73" s="56"/>
    </row>
    <row r="74" spans="1:20" ht="15.75" customHeight="1">
      <c r="A74" s="22" t="s">
        <v>1340</v>
      </c>
      <c r="B74" s="20" t="s">
        <v>1341</v>
      </c>
      <c r="C74" s="22" t="s">
        <v>376</v>
      </c>
      <c r="D74" s="52" t="s">
        <v>1196</v>
      </c>
      <c r="E74" s="54"/>
      <c r="F74" s="63"/>
      <c r="G74" s="54"/>
      <c r="H74" s="55"/>
      <c r="I74" s="55"/>
      <c r="J74" s="55"/>
      <c r="K74" s="55"/>
      <c r="L74" s="63"/>
      <c r="M74" s="54"/>
      <c r="N74" s="63"/>
      <c r="O74" s="54"/>
      <c r="P74" s="63"/>
      <c r="Q74" s="54"/>
      <c r="R74" s="63"/>
      <c r="S74" s="61"/>
      <c r="T74" s="56"/>
    </row>
    <row r="75" spans="1:20" ht="15.75" customHeight="1">
      <c r="A75" s="22" t="s">
        <v>1340</v>
      </c>
      <c r="B75" s="20" t="s">
        <v>1341</v>
      </c>
      <c r="C75" s="22" t="s">
        <v>377</v>
      </c>
      <c r="D75" s="52" t="s">
        <v>1197</v>
      </c>
      <c r="E75" s="54"/>
      <c r="F75" s="63"/>
      <c r="G75" s="54"/>
      <c r="H75" s="55"/>
      <c r="I75" s="55"/>
      <c r="J75" s="55"/>
      <c r="K75" s="55"/>
      <c r="L75" s="63"/>
      <c r="M75" s="54"/>
      <c r="N75" s="63"/>
      <c r="O75" s="54"/>
      <c r="P75" s="63"/>
      <c r="Q75" s="54"/>
      <c r="R75" s="63"/>
      <c r="S75" s="61"/>
      <c r="T75" s="56"/>
    </row>
    <row r="76" spans="1:20" ht="15.75" customHeight="1">
      <c r="A76" s="22" t="s">
        <v>1340</v>
      </c>
      <c r="B76" s="20" t="s">
        <v>1341</v>
      </c>
      <c r="C76" s="22" t="s">
        <v>378</v>
      </c>
      <c r="D76" s="52" t="s">
        <v>1198</v>
      </c>
      <c r="E76" s="54"/>
      <c r="F76" s="63"/>
      <c r="G76" s="54"/>
      <c r="H76" s="55"/>
      <c r="I76" s="55"/>
      <c r="J76" s="55"/>
      <c r="K76" s="55"/>
      <c r="L76" s="63"/>
      <c r="M76" s="54"/>
      <c r="N76" s="63"/>
      <c r="O76" s="54"/>
      <c r="P76" s="63"/>
      <c r="Q76" s="54"/>
      <c r="R76" s="63"/>
      <c r="S76" s="61"/>
      <c r="T76" s="56"/>
    </row>
    <row r="77" spans="1:20" ht="15.75" customHeight="1">
      <c r="A77" s="22" t="s">
        <v>1340</v>
      </c>
      <c r="B77" s="20" t="s">
        <v>1341</v>
      </c>
      <c r="C77" s="22" t="s">
        <v>313</v>
      </c>
      <c r="D77" s="52" t="s">
        <v>1199</v>
      </c>
      <c r="E77" s="54"/>
      <c r="F77" s="63"/>
      <c r="G77" s="54"/>
      <c r="H77" s="55"/>
      <c r="I77" s="55"/>
      <c r="J77" s="55"/>
      <c r="K77" s="55"/>
      <c r="L77" s="63"/>
      <c r="M77" s="54"/>
      <c r="N77" s="63"/>
      <c r="O77" s="54"/>
      <c r="P77" s="63"/>
      <c r="Q77" s="54"/>
      <c r="R77" s="63"/>
      <c r="S77" s="61"/>
      <c r="T77" s="56"/>
    </row>
    <row r="78" spans="1:20" ht="15.75" customHeight="1">
      <c r="A78" s="22" t="s">
        <v>1340</v>
      </c>
      <c r="B78" s="20" t="s">
        <v>1341</v>
      </c>
      <c r="C78" s="22" t="s">
        <v>314</v>
      </c>
      <c r="D78" s="52" t="s">
        <v>1200</v>
      </c>
      <c r="E78" s="54"/>
      <c r="F78" s="63"/>
      <c r="G78" s="54"/>
      <c r="H78" s="55"/>
      <c r="I78" s="55"/>
      <c r="J78" s="55"/>
      <c r="K78" s="55"/>
      <c r="L78" s="63"/>
      <c r="M78" s="54"/>
      <c r="N78" s="63"/>
      <c r="O78" s="54"/>
      <c r="P78" s="63"/>
      <c r="Q78" s="54"/>
      <c r="R78" s="63"/>
      <c r="S78" s="61"/>
      <c r="T78" s="56"/>
    </row>
    <row r="79" spans="1:20" s="147" customFormat="1" ht="15.75" customHeight="1">
      <c r="A79" s="148" t="s">
        <v>1340</v>
      </c>
      <c r="B79" s="149" t="s">
        <v>1342</v>
      </c>
      <c r="C79" s="148" t="s">
        <v>365</v>
      </c>
      <c r="D79" s="150" t="s">
        <v>1201</v>
      </c>
      <c r="E79" s="140"/>
      <c r="F79" s="141"/>
      <c r="G79" s="140"/>
      <c r="H79" s="142"/>
      <c r="I79" s="142"/>
      <c r="J79" s="142"/>
      <c r="K79" s="142"/>
      <c r="L79" s="141"/>
      <c r="M79" s="140"/>
      <c r="N79" s="141"/>
      <c r="O79" s="140"/>
      <c r="P79" s="141"/>
      <c r="Q79" s="140"/>
      <c r="R79" s="141"/>
      <c r="S79" s="151"/>
      <c r="T79" s="146"/>
    </row>
    <row r="80" spans="1:20" s="147" customFormat="1" ht="15.75" customHeight="1">
      <c r="A80" s="148" t="s">
        <v>1340</v>
      </c>
      <c r="B80" s="149" t="s">
        <v>1342</v>
      </c>
      <c r="C80" s="148" t="s">
        <v>379</v>
      </c>
      <c r="D80" s="150" t="s">
        <v>1202</v>
      </c>
      <c r="E80" s="140"/>
      <c r="F80" s="141"/>
      <c r="G80" s="140"/>
      <c r="H80" s="142"/>
      <c r="I80" s="142"/>
      <c r="J80" s="142"/>
      <c r="K80" s="142"/>
      <c r="L80" s="141"/>
      <c r="M80" s="140"/>
      <c r="N80" s="141"/>
      <c r="O80" s="140"/>
      <c r="P80" s="141"/>
      <c r="Q80" s="140"/>
      <c r="R80" s="141"/>
      <c r="S80" s="151"/>
      <c r="T80" s="146"/>
    </row>
    <row r="81" spans="1:20" ht="15.75" customHeight="1">
      <c r="A81" s="22" t="s">
        <v>1340</v>
      </c>
      <c r="B81" s="20" t="s">
        <v>1342</v>
      </c>
      <c r="C81" s="22" t="s">
        <v>378</v>
      </c>
      <c r="D81" s="52" t="s">
        <v>1203</v>
      </c>
      <c r="E81" s="54"/>
      <c r="F81" s="63"/>
      <c r="G81" s="54"/>
      <c r="H81" s="55"/>
      <c r="I81" s="55"/>
      <c r="J81" s="55"/>
      <c r="K81" s="55"/>
      <c r="L81" s="63"/>
      <c r="M81" s="54"/>
      <c r="N81" s="63"/>
      <c r="O81" s="54"/>
      <c r="P81" s="63"/>
      <c r="Q81" s="54"/>
      <c r="R81" s="63"/>
      <c r="S81" s="61"/>
      <c r="T81" s="56"/>
    </row>
    <row r="82" spans="1:20" ht="15.75" customHeight="1">
      <c r="A82" s="22" t="s">
        <v>1340</v>
      </c>
      <c r="B82" s="20" t="s">
        <v>1342</v>
      </c>
      <c r="C82" s="22" t="s">
        <v>313</v>
      </c>
      <c r="D82" s="52" t="s">
        <v>1204</v>
      </c>
      <c r="E82" s="54"/>
      <c r="F82" s="63"/>
      <c r="G82" s="54"/>
      <c r="H82" s="55"/>
      <c r="I82" s="55"/>
      <c r="J82" s="55"/>
      <c r="K82" s="55"/>
      <c r="L82" s="63"/>
      <c r="M82" s="54"/>
      <c r="N82" s="63"/>
      <c r="O82" s="54"/>
      <c r="P82" s="63"/>
      <c r="Q82" s="54"/>
      <c r="R82" s="63"/>
      <c r="S82" s="61"/>
      <c r="T82" s="56"/>
    </row>
    <row r="83" spans="1:20" s="147" customFormat="1" ht="15.75" customHeight="1">
      <c r="A83" s="148" t="s">
        <v>1340</v>
      </c>
      <c r="B83" s="149" t="s">
        <v>1342</v>
      </c>
      <c r="C83" s="148" t="s">
        <v>314</v>
      </c>
      <c r="D83" s="150" t="s">
        <v>1205</v>
      </c>
      <c r="E83" s="140"/>
      <c r="F83" s="141"/>
      <c r="G83" s="140"/>
      <c r="H83" s="142"/>
      <c r="I83" s="142"/>
      <c r="J83" s="142"/>
      <c r="K83" s="142"/>
      <c r="L83" s="141"/>
      <c r="M83" s="140"/>
      <c r="N83" s="141"/>
      <c r="O83" s="140"/>
      <c r="P83" s="141"/>
      <c r="Q83" s="140"/>
      <c r="R83" s="141"/>
      <c r="S83" s="151"/>
      <c r="T83" s="146"/>
    </row>
    <row r="84" spans="1:20" s="147" customFormat="1" ht="15.75" customHeight="1">
      <c r="A84" s="148" t="s">
        <v>1340</v>
      </c>
      <c r="B84" s="149" t="s">
        <v>1342</v>
      </c>
      <c r="C84" s="148" t="s">
        <v>380</v>
      </c>
      <c r="D84" s="150" t="s">
        <v>1206</v>
      </c>
      <c r="E84" s="140"/>
      <c r="F84" s="141"/>
      <c r="G84" s="140"/>
      <c r="H84" s="142"/>
      <c r="I84" s="142"/>
      <c r="J84" s="142"/>
      <c r="K84" s="142"/>
      <c r="L84" s="141"/>
      <c r="M84" s="140"/>
      <c r="N84" s="141"/>
      <c r="O84" s="140"/>
      <c r="P84" s="141"/>
      <c r="Q84" s="140"/>
      <c r="R84" s="141"/>
      <c r="S84" s="151"/>
      <c r="T84" s="146"/>
    </row>
    <row r="85" spans="1:20" ht="15.75" customHeight="1">
      <c r="A85" s="22" t="s">
        <v>1340</v>
      </c>
      <c r="B85" s="20" t="s">
        <v>1342</v>
      </c>
      <c r="C85" s="22" t="s">
        <v>315</v>
      </c>
      <c r="D85" s="52" t="s">
        <v>1207</v>
      </c>
      <c r="E85" s="54"/>
      <c r="F85" s="63"/>
      <c r="G85" s="54"/>
      <c r="H85" s="55"/>
      <c r="I85" s="55"/>
      <c r="J85" s="55"/>
      <c r="K85" s="55"/>
      <c r="L85" s="63"/>
      <c r="M85" s="54"/>
      <c r="N85" s="63"/>
      <c r="O85" s="54"/>
      <c r="P85" s="63"/>
      <c r="Q85" s="54"/>
      <c r="R85" s="63"/>
      <c r="S85" s="61"/>
      <c r="T85" s="56"/>
    </row>
    <row r="86" spans="1:20" ht="15.75" customHeight="1">
      <c r="A86" s="22" t="s">
        <v>1340</v>
      </c>
      <c r="B86" s="20" t="s">
        <v>1342</v>
      </c>
      <c r="C86" s="22" t="s">
        <v>381</v>
      </c>
      <c r="D86" s="52" t="s">
        <v>1208</v>
      </c>
      <c r="E86" s="54"/>
      <c r="F86" s="63"/>
      <c r="G86" s="54"/>
      <c r="H86" s="55"/>
      <c r="I86" s="55"/>
      <c r="J86" s="55"/>
      <c r="K86" s="55"/>
      <c r="L86" s="63"/>
      <c r="M86" s="54"/>
      <c r="N86" s="63"/>
      <c r="O86" s="54"/>
      <c r="P86" s="63"/>
      <c r="Q86" s="54"/>
      <c r="R86" s="63"/>
      <c r="S86" s="61"/>
      <c r="T86" s="56"/>
    </row>
    <row r="87" spans="1:20" ht="15.75" customHeight="1">
      <c r="A87" s="22" t="s">
        <v>1340</v>
      </c>
      <c r="B87" s="20" t="s">
        <v>1342</v>
      </c>
      <c r="C87" s="22" t="s">
        <v>382</v>
      </c>
      <c r="D87" s="52" t="s">
        <v>1209</v>
      </c>
      <c r="E87" s="54"/>
      <c r="F87" s="63"/>
      <c r="G87" s="54"/>
      <c r="H87" s="55"/>
      <c r="I87" s="55"/>
      <c r="J87" s="55"/>
      <c r="K87" s="55"/>
      <c r="L87" s="63"/>
      <c r="M87" s="54"/>
      <c r="N87" s="63"/>
      <c r="O87" s="54"/>
      <c r="P87" s="63"/>
      <c r="Q87" s="54"/>
      <c r="R87" s="63"/>
      <c r="S87" s="61"/>
      <c r="T87" s="56"/>
    </row>
    <row r="88" spans="1:20" ht="15.75" customHeight="1">
      <c r="A88" s="22" t="s">
        <v>416</v>
      </c>
      <c r="B88" s="20" t="s">
        <v>388</v>
      </c>
      <c r="C88" s="22" t="s">
        <v>389</v>
      </c>
      <c r="D88" s="52" t="s">
        <v>1210</v>
      </c>
      <c r="E88" s="54"/>
      <c r="F88" s="63"/>
      <c r="G88" s="54"/>
      <c r="H88" s="55"/>
      <c r="I88" s="55"/>
      <c r="J88" s="55"/>
      <c r="K88" s="55"/>
      <c r="L88" s="63"/>
      <c r="M88" s="54"/>
      <c r="N88" s="63"/>
      <c r="O88" s="54"/>
      <c r="P88" s="63"/>
      <c r="Q88" s="54"/>
      <c r="R88" s="63"/>
      <c r="S88" s="61"/>
      <c r="T88" s="56"/>
    </row>
    <row r="89" spans="1:20" ht="15.75" customHeight="1">
      <c r="A89" s="22" t="s">
        <v>416</v>
      </c>
      <c r="B89" s="20" t="s">
        <v>388</v>
      </c>
      <c r="C89" s="22" t="s">
        <v>390</v>
      </c>
      <c r="D89" s="52" t="s">
        <v>1211</v>
      </c>
      <c r="E89" s="54"/>
      <c r="F89" s="63"/>
      <c r="G89" s="54"/>
      <c r="H89" s="55"/>
      <c r="I89" s="55"/>
      <c r="J89" s="55"/>
      <c r="K89" s="55"/>
      <c r="L89" s="63"/>
      <c r="M89" s="54"/>
      <c r="N89" s="63"/>
      <c r="O89" s="54"/>
      <c r="P89" s="63"/>
      <c r="Q89" s="54"/>
      <c r="R89" s="63"/>
      <c r="S89" s="61"/>
      <c r="T89" s="56"/>
    </row>
    <row r="90" spans="1:20" ht="15.75" customHeight="1">
      <c r="A90" s="22" t="s">
        <v>416</v>
      </c>
      <c r="B90" s="20" t="s">
        <v>388</v>
      </c>
      <c r="C90" s="22" t="s">
        <v>388</v>
      </c>
      <c r="D90" s="52" t="s">
        <v>1212</v>
      </c>
      <c r="E90" s="54"/>
      <c r="F90" s="63"/>
      <c r="G90" s="54"/>
      <c r="H90" s="55"/>
      <c r="I90" s="55"/>
      <c r="J90" s="55"/>
      <c r="K90" s="55"/>
      <c r="L90" s="63"/>
      <c r="M90" s="54"/>
      <c r="N90" s="63"/>
      <c r="O90" s="54"/>
      <c r="P90" s="63"/>
      <c r="Q90" s="54"/>
      <c r="R90" s="63"/>
      <c r="S90" s="61"/>
      <c r="T90" s="56"/>
    </row>
    <row r="91" spans="1:20" ht="15.75" customHeight="1">
      <c r="A91" s="22" t="s">
        <v>391</v>
      </c>
      <c r="B91" s="20" t="s">
        <v>392</v>
      </c>
      <c r="C91" s="22" t="s">
        <v>393</v>
      </c>
      <c r="D91" s="52" t="s">
        <v>1213</v>
      </c>
      <c r="E91" s="54"/>
      <c r="F91" s="63"/>
      <c r="G91" s="54"/>
      <c r="H91" s="55"/>
      <c r="I91" s="55"/>
      <c r="J91" s="55"/>
      <c r="K91" s="55"/>
      <c r="L91" s="63"/>
      <c r="M91" s="54"/>
      <c r="N91" s="63"/>
      <c r="O91" s="54"/>
      <c r="P91" s="63"/>
      <c r="Q91" s="54"/>
      <c r="R91" s="63"/>
      <c r="S91" s="61"/>
      <c r="T91" s="56"/>
    </row>
    <row r="92" spans="1:20" ht="15.75" customHeight="1">
      <c r="A92" s="22" t="s">
        <v>391</v>
      </c>
      <c r="B92" s="20" t="s">
        <v>392</v>
      </c>
      <c r="C92" s="22" t="s">
        <v>394</v>
      </c>
      <c r="D92" s="52" t="s">
        <v>1214</v>
      </c>
      <c r="E92" s="54"/>
      <c r="F92" s="63"/>
      <c r="G92" s="54"/>
      <c r="H92" s="55"/>
      <c r="I92" s="55"/>
      <c r="J92" s="55"/>
      <c r="K92" s="55"/>
      <c r="L92" s="63"/>
      <c r="M92" s="54"/>
      <c r="N92" s="63"/>
      <c r="O92" s="54"/>
      <c r="P92" s="63"/>
      <c r="Q92" s="54"/>
      <c r="R92" s="63"/>
      <c r="S92" s="61"/>
      <c r="T92" s="56"/>
    </row>
    <row r="93" spans="1:20" ht="15.75" customHeight="1">
      <c r="A93" s="22" t="s">
        <v>391</v>
      </c>
      <c r="B93" s="20" t="s">
        <v>392</v>
      </c>
      <c r="C93" s="22" t="s">
        <v>395</v>
      </c>
      <c r="D93" s="52" t="s">
        <v>1215</v>
      </c>
      <c r="E93" s="54"/>
      <c r="F93" s="63"/>
      <c r="G93" s="54"/>
      <c r="H93" s="55"/>
      <c r="I93" s="55"/>
      <c r="J93" s="55"/>
      <c r="K93" s="55"/>
      <c r="L93" s="63"/>
      <c r="M93" s="54"/>
      <c r="N93" s="63"/>
      <c r="O93" s="54"/>
      <c r="P93" s="63"/>
      <c r="Q93" s="54"/>
      <c r="R93" s="63"/>
      <c r="S93" s="61"/>
      <c r="T93" s="56"/>
    </row>
    <row r="94" spans="1:20" ht="15.75" customHeight="1">
      <c r="A94" s="22" t="s">
        <v>391</v>
      </c>
      <c r="B94" s="20" t="s">
        <v>392</v>
      </c>
      <c r="C94" s="22" t="s">
        <v>396</v>
      </c>
      <c r="D94" s="52" t="s">
        <v>1216</v>
      </c>
      <c r="E94" s="54"/>
      <c r="F94" s="63"/>
      <c r="G94" s="54"/>
      <c r="H94" s="55"/>
      <c r="I94" s="55"/>
      <c r="J94" s="55"/>
      <c r="K94" s="55"/>
      <c r="L94" s="63"/>
      <c r="M94" s="54"/>
      <c r="N94" s="63"/>
      <c r="O94" s="54"/>
      <c r="P94" s="63"/>
      <c r="Q94" s="54"/>
      <c r="R94" s="63"/>
      <c r="S94" s="61"/>
      <c r="T94" s="56"/>
    </row>
    <row r="95" spans="1:20" ht="15.75" customHeight="1">
      <c r="A95" s="22" t="s">
        <v>391</v>
      </c>
      <c r="B95" s="20" t="s">
        <v>392</v>
      </c>
      <c r="C95" s="22" t="s">
        <v>397</v>
      </c>
      <c r="D95" s="52" t="s">
        <v>1217</v>
      </c>
      <c r="E95" s="54"/>
      <c r="F95" s="63"/>
      <c r="G95" s="54"/>
      <c r="H95" s="55"/>
      <c r="I95" s="55"/>
      <c r="J95" s="55"/>
      <c r="K95" s="55"/>
      <c r="L95" s="63"/>
      <c r="M95" s="54"/>
      <c r="N95" s="63"/>
      <c r="O95" s="54"/>
      <c r="P95" s="63"/>
      <c r="Q95" s="54"/>
      <c r="R95" s="63"/>
      <c r="S95" s="61"/>
      <c r="T95" s="56"/>
    </row>
    <row r="96" spans="1:20" ht="15.75" customHeight="1">
      <c r="A96" s="22" t="s">
        <v>391</v>
      </c>
      <c r="B96" s="20" t="s">
        <v>401</v>
      </c>
      <c r="C96" s="22" t="s">
        <v>398</v>
      </c>
      <c r="D96" s="52" t="s">
        <v>1218</v>
      </c>
      <c r="E96" s="54"/>
      <c r="F96" s="63"/>
      <c r="G96" s="54"/>
      <c r="H96" s="55"/>
      <c r="I96" s="55"/>
      <c r="J96" s="55"/>
      <c r="K96" s="55"/>
      <c r="L96" s="63"/>
      <c r="M96" s="54"/>
      <c r="N96" s="63"/>
      <c r="O96" s="54"/>
      <c r="P96" s="63"/>
      <c r="Q96" s="54"/>
      <c r="R96" s="63"/>
      <c r="S96" s="61"/>
      <c r="T96" s="56"/>
    </row>
    <row r="97" spans="1:20" ht="15.75" customHeight="1">
      <c r="A97" s="22" t="s">
        <v>391</v>
      </c>
      <c r="B97" s="20" t="s">
        <v>401</v>
      </c>
      <c r="C97" s="22" t="s">
        <v>399</v>
      </c>
      <c r="D97" s="52" t="s">
        <v>1219</v>
      </c>
      <c r="E97" s="54"/>
      <c r="F97" s="63"/>
      <c r="G97" s="54"/>
      <c r="H97" s="55"/>
      <c r="I97" s="55"/>
      <c r="J97" s="55"/>
      <c r="K97" s="55"/>
      <c r="L97" s="63"/>
      <c r="M97" s="54"/>
      <c r="N97" s="63"/>
      <c r="O97" s="54"/>
      <c r="P97" s="63"/>
      <c r="Q97" s="54"/>
      <c r="R97" s="63"/>
      <c r="S97" s="61"/>
      <c r="T97" s="56"/>
    </row>
    <row r="98" spans="1:20" ht="15.75" customHeight="1">
      <c r="A98" s="22" t="s">
        <v>391</v>
      </c>
      <c r="B98" s="20" t="s">
        <v>401</v>
      </c>
      <c r="C98" s="22" t="s">
        <v>394</v>
      </c>
      <c r="D98" s="52" t="s">
        <v>1220</v>
      </c>
      <c r="E98" s="54"/>
      <c r="F98" s="63"/>
      <c r="G98" s="54"/>
      <c r="H98" s="55"/>
      <c r="I98" s="55"/>
      <c r="J98" s="55"/>
      <c r="K98" s="55"/>
      <c r="L98" s="63"/>
      <c r="M98" s="54"/>
      <c r="N98" s="63"/>
      <c r="O98" s="54"/>
      <c r="P98" s="63"/>
      <c r="Q98" s="54"/>
      <c r="R98" s="63"/>
      <c r="S98" s="61"/>
      <c r="T98" s="56"/>
    </row>
    <row r="99" spans="1:20" ht="15.75" customHeight="1">
      <c r="A99" s="22" t="s">
        <v>391</v>
      </c>
      <c r="B99" s="20" t="s">
        <v>401</v>
      </c>
      <c r="C99" s="22" t="s">
        <v>396</v>
      </c>
      <c r="D99" s="52" t="s">
        <v>1221</v>
      </c>
      <c r="E99" s="54"/>
      <c r="F99" s="63"/>
      <c r="G99" s="54"/>
      <c r="H99" s="55"/>
      <c r="I99" s="55"/>
      <c r="J99" s="55"/>
      <c r="K99" s="55"/>
      <c r="L99" s="63"/>
      <c r="M99" s="54"/>
      <c r="N99" s="63"/>
      <c r="O99" s="54"/>
      <c r="P99" s="63"/>
      <c r="Q99" s="54"/>
      <c r="R99" s="63"/>
      <c r="S99" s="61"/>
      <c r="T99" s="56"/>
    </row>
    <row r="100" spans="1:20" ht="15.75" customHeight="1">
      <c r="A100" s="22" t="s">
        <v>391</v>
      </c>
      <c r="B100" s="20" t="s">
        <v>401</v>
      </c>
      <c r="C100" s="22" t="s">
        <v>395</v>
      </c>
      <c r="D100" s="52" t="s">
        <v>1222</v>
      </c>
      <c r="E100" s="54"/>
      <c r="F100" s="63"/>
      <c r="G100" s="54"/>
      <c r="H100" s="55"/>
      <c r="I100" s="55"/>
      <c r="J100" s="55"/>
      <c r="K100" s="55"/>
      <c r="L100" s="63"/>
      <c r="M100" s="54"/>
      <c r="N100" s="63"/>
      <c r="O100" s="54"/>
      <c r="P100" s="63"/>
      <c r="Q100" s="54"/>
      <c r="R100" s="63"/>
      <c r="S100" s="61"/>
      <c r="T100" s="56"/>
    </row>
    <row r="101" spans="1:20" ht="15.75" customHeight="1">
      <c r="A101" s="22" t="s">
        <v>391</v>
      </c>
      <c r="B101" s="20" t="s">
        <v>401</v>
      </c>
      <c r="C101" s="22" t="s">
        <v>400</v>
      </c>
      <c r="D101" s="52" t="s">
        <v>1223</v>
      </c>
      <c r="E101" s="54"/>
      <c r="F101" s="63"/>
      <c r="G101" s="54"/>
      <c r="H101" s="55"/>
      <c r="I101" s="55"/>
      <c r="J101" s="55"/>
      <c r="K101" s="55"/>
      <c r="L101" s="63"/>
      <c r="M101" s="54"/>
      <c r="N101" s="63"/>
      <c r="O101" s="54"/>
      <c r="P101" s="63"/>
      <c r="Q101" s="54"/>
      <c r="R101" s="63"/>
      <c r="S101" s="61"/>
      <c r="T101" s="56"/>
    </row>
    <row r="102" spans="1:20" ht="15.75" customHeight="1">
      <c r="A102" s="22" t="s">
        <v>409</v>
      </c>
      <c r="B102" s="20" t="s">
        <v>407</v>
      </c>
      <c r="C102" s="22" t="s">
        <v>402</v>
      </c>
      <c r="D102" s="52" t="s">
        <v>1224</v>
      </c>
      <c r="E102" s="54"/>
      <c r="F102" s="63"/>
      <c r="G102" s="54"/>
      <c r="H102" s="55"/>
      <c r="I102" s="55"/>
      <c r="J102" s="55"/>
      <c r="K102" s="55"/>
      <c r="L102" s="63"/>
      <c r="M102" s="54"/>
      <c r="N102" s="63"/>
      <c r="O102" s="54"/>
      <c r="P102" s="63"/>
      <c r="Q102" s="54"/>
      <c r="R102" s="63"/>
      <c r="S102" s="61"/>
      <c r="T102" s="56"/>
    </row>
    <row r="103" spans="1:20" s="147" customFormat="1" ht="15.75" customHeight="1">
      <c r="A103" s="148" t="s">
        <v>409</v>
      </c>
      <c r="B103" s="149" t="s">
        <v>407</v>
      </c>
      <c r="C103" s="148" t="s">
        <v>422</v>
      </c>
      <c r="D103" s="150" t="s">
        <v>1225</v>
      </c>
      <c r="E103" s="140"/>
      <c r="F103" s="141"/>
      <c r="G103" s="140"/>
      <c r="H103" s="142"/>
      <c r="I103" s="142"/>
      <c r="J103" s="142"/>
      <c r="K103" s="142"/>
      <c r="L103" s="141"/>
      <c r="M103" s="140"/>
      <c r="N103" s="141"/>
      <c r="O103" s="140"/>
      <c r="P103" s="141"/>
      <c r="Q103" s="140"/>
      <c r="R103" s="141"/>
      <c r="S103" s="151"/>
      <c r="T103" s="146"/>
    </row>
    <row r="104" spans="1:20" s="147" customFormat="1" ht="15.75" customHeight="1">
      <c r="A104" s="148" t="s">
        <v>409</v>
      </c>
      <c r="B104" s="149" t="s">
        <v>407</v>
      </c>
      <c r="C104" s="148" t="s">
        <v>403</v>
      </c>
      <c r="D104" s="150" t="s">
        <v>1226</v>
      </c>
      <c r="E104" s="140"/>
      <c r="F104" s="141"/>
      <c r="G104" s="140"/>
      <c r="H104" s="142"/>
      <c r="I104" s="142"/>
      <c r="J104" s="142"/>
      <c r="K104" s="142"/>
      <c r="L104" s="141"/>
      <c r="M104" s="140"/>
      <c r="N104" s="141"/>
      <c r="O104" s="140"/>
      <c r="P104" s="141"/>
      <c r="Q104" s="140"/>
      <c r="R104" s="141"/>
      <c r="S104" s="151"/>
      <c r="T104" s="146"/>
    </row>
    <row r="105" spans="1:20" ht="15.75" customHeight="1">
      <c r="A105" s="22" t="s">
        <v>409</v>
      </c>
      <c r="B105" s="20" t="s">
        <v>407</v>
      </c>
      <c r="C105" s="22" t="s">
        <v>404</v>
      </c>
      <c r="D105" s="52" t="s">
        <v>1227</v>
      </c>
      <c r="E105" s="54"/>
      <c r="F105" s="63"/>
      <c r="G105" s="54"/>
      <c r="H105" s="55"/>
      <c r="I105" s="55"/>
      <c r="J105" s="55"/>
      <c r="K105" s="55"/>
      <c r="L105" s="63"/>
      <c r="M105" s="54"/>
      <c r="N105" s="63"/>
      <c r="O105" s="54"/>
      <c r="P105" s="63"/>
      <c r="Q105" s="54"/>
      <c r="R105" s="63"/>
      <c r="S105" s="61"/>
      <c r="T105" s="56"/>
    </row>
    <row r="106" spans="1:20" ht="15.75" customHeight="1">
      <c r="A106" s="22" t="s">
        <v>409</v>
      </c>
      <c r="B106" s="20" t="s">
        <v>407</v>
      </c>
      <c r="C106" s="22" t="s">
        <v>405</v>
      </c>
      <c r="D106" s="52" t="s">
        <v>1228</v>
      </c>
      <c r="E106" s="54"/>
      <c r="F106" s="63"/>
      <c r="G106" s="54"/>
      <c r="H106" s="55"/>
      <c r="I106" s="55"/>
      <c r="J106" s="55"/>
      <c r="K106" s="55"/>
      <c r="L106" s="63"/>
      <c r="M106" s="54"/>
      <c r="N106" s="63"/>
      <c r="O106" s="54"/>
      <c r="P106" s="63"/>
      <c r="Q106" s="54"/>
      <c r="R106" s="63"/>
      <c r="S106" s="61"/>
      <c r="T106" s="56"/>
    </row>
    <row r="107" spans="1:20" ht="15.75" customHeight="1">
      <c r="A107" s="22" t="s">
        <v>409</v>
      </c>
      <c r="B107" s="20" t="s">
        <v>407</v>
      </c>
      <c r="C107" s="22" t="s">
        <v>406</v>
      </c>
      <c r="D107" s="52" t="s">
        <v>1229</v>
      </c>
      <c r="E107" s="54"/>
      <c r="F107" s="63"/>
      <c r="G107" s="54"/>
      <c r="H107" s="55"/>
      <c r="I107" s="55"/>
      <c r="J107" s="55"/>
      <c r="K107" s="55"/>
      <c r="L107" s="63"/>
      <c r="M107" s="54"/>
      <c r="N107" s="63"/>
      <c r="O107" s="54"/>
      <c r="P107" s="63"/>
      <c r="Q107" s="54"/>
      <c r="R107" s="63"/>
      <c r="S107" s="61"/>
      <c r="T107" s="56"/>
    </row>
    <row r="108" spans="1:20" ht="15.75" customHeight="1">
      <c r="A108" s="22" t="s">
        <v>409</v>
      </c>
      <c r="B108" s="20" t="s">
        <v>407</v>
      </c>
      <c r="C108" s="22" t="s">
        <v>408</v>
      </c>
      <c r="D108" s="52" t="s">
        <v>1230</v>
      </c>
      <c r="E108" s="54"/>
      <c r="F108" s="63"/>
      <c r="G108" s="54"/>
      <c r="H108" s="55"/>
      <c r="I108" s="55"/>
      <c r="J108" s="55"/>
      <c r="K108" s="55"/>
      <c r="L108" s="63"/>
      <c r="M108" s="54"/>
      <c r="N108" s="63"/>
      <c r="O108" s="54"/>
      <c r="P108" s="63"/>
      <c r="Q108" s="54"/>
      <c r="R108" s="63"/>
      <c r="S108" s="61"/>
      <c r="T108" s="56"/>
    </row>
    <row r="109" spans="1:20" s="147" customFormat="1" ht="15.75" customHeight="1">
      <c r="A109" s="148" t="s">
        <v>409</v>
      </c>
      <c r="B109" s="149" t="s">
        <v>417</v>
      </c>
      <c r="C109" s="148" t="s">
        <v>417</v>
      </c>
      <c r="D109" s="150" t="s">
        <v>1231</v>
      </c>
      <c r="E109" s="140"/>
      <c r="F109" s="141"/>
      <c r="G109" s="140"/>
      <c r="H109" s="142"/>
      <c r="I109" s="142"/>
      <c r="J109" s="142"/>
      <c r="K109" s="142"/>
      <c r="L109" s="141"/>
      <c r="M109" s="140"/>
      <c r="N109" s="141"/>
      <c r="O109" s="140"/>
      <c r="P109" s="141"/>
      <c r="Q109" s="140"/>
      <c r="R109" s="141"/>
      <c r="S109" s="151"/>
      <c r="T109" s="146"/>
    </row>
    <row r="110" spans="1:20" ht="15.75" customHeight="1">
      <c r="A110" s="22" t="s">
        <v>409</v>
      </c>
      <c r="B110" s="20" t="s">
        <v>418</v>
      </c>
      <c r="C110" s="22" t="s">
        <v>418</v>
      </c>
      <c r="D110" s="52" t="s">
        <v>1232</v>
      </c>
      <c r="E110" s="54"/>
      <c r="F110" s="63"/>
      <c r="G110" s="54"/>
      <c r="H110" s="55"/>
      <c r="I110" s="55"/>
      <c r="J110" s="55"/>
      <c r="K110" s="55"/>
      <c r="L110" s="63"/>
      <c r="M110" s="54"/>
      <c r="N110" s="63"/>
      <c r="O110" s="54"/>
      <c r="P110" s="63"/>
      <c r="Q110" s="54"/>
      <c r="R110" s="63"/>
      <c r="S110" s="61"/>
      <c r="T110" s="56"/>
    </row>
    <row r="111" spans="1:20" ht="15.75" customHeight="1">
      <c r="A111" s="22" t="s">
        <v>409</v>
      </c>
      <c r="B111" s="20" t="s">
        <v>419</v>
      </c>
      <c r="C111" s="22" t="s">
        <v>420</v>
      </c>
      <c r="D111" s="52" t="s">
        <v>1233</v>
      </c>
      <c r="E111" s="54"/>
      <c r="F111" s="63"/>
      <c r="G111" s="54"/>
      <c r="H111" s="55"/>
      <c r="I111" s="55"/>
      <c r="J111" s="55"/>
      <c r="K111" s="55"/>
      <c r="L111" s="63"/>
      <c r="M111" s="54"/>
      <c r="N111" s="63"/>
      <c r="O111" s="54"/>
      <c r="P111" s="63"/>
      <c r="Q111" s="54"/>
      <c r="R111" s="63"/>
      <c r="S111" s="61"/>
      <c r="T111" s="56"/>
    </row>
    <row r="112" spans="1:20" ht="15.75" customHeight="1">
      <c r="A112" s="22" t="s">
        <v>409</v>
      </c>
      <c r="B112" s="20" t="s">
        <v>419</v>
      </c>
      <c r="C112" s="22" t="s">
        <v>421</v>
      </c>
      <c r="D112" s="52" t="s">
        <v>1234</v>
      </c>
      <c r="E112" s="54"/>
      <c r="F112" s="63"/>
      <c r="G112" s="54"/>
      <c r="H112" s="55"/>
      <c r="I112" s="55"/>
      <c r="J112" s="55"/>
      <c r="K112" s="55"/>
      <c r="L112" s="63"/>
      <c r="M112" s="54"/>
      <c r="N112" s="63"/>
      <c r="O112" s="54"/>
      <c r="P112" s="63"/>
      <c r="Q112" s="54"/>
      <c r="R112" s="63"/>
      <c r="S112" s="61"/>
      <c r="T112" s="56"/>
    </row>
    <row r="113" spans="1:20" ht="15.75" customHeight="1">
      <c r="A113" s="22" t="s">
        <v>409</v>
      </c>
      <c r="B113" s="20" t="s">
        <v>410</v>
      </c>
      <c r="C113" s="22" t="s">
        <v>411</v>
      </c>
      <c r="D113" s="52" t="s">
        <v>1235</v>
      </c>
      <c r="E113" s="54"/>
      <c r="F113" s="63"/>
      <c r="G113" s="54"/>
      <c r="H113" s="55"/>
      <c r="I113" s="55"/>
      <c r="J113" s="55"/>
      <c r="K113" s="55"/>
      <c r="L113" s="63"/>
      <c r="M113" s="54"/>
      <c r="N113" s="63"/>
      <c r="O113" s="54"/>
      <c r="P113" s="63"/>
      <c r="Q113" s="54"/>
      <c r="R113" s="63"/>
      <c r="S113" s="61"/>
      <c r="T113" s="56"/>
    </row>
    <row r="114" spans="1:20" ht="15.75" customHeight="1">
      <c r="A114" s="22" t="s">
        <v>409</v>
      </c>
      <c r="B114" s="20" t="s">
        <v>410</v>
      </c>
      <c r="C114" s="22" t="s">
        <v>412</v>
      </c>
      <c r="D114" s="52" t="s">
        <v>1236</v>
      </c>
      <c r="E114" s="54"/>
      <c r="F114" s="63"/>
      <c r="G114" s="54"/>
      <c r="H114" s="55"/>
      <c r="I114" s="55"/>
      <c r="J114" s="55"/>
      <c r="K114" s="55"/>
      <c r="L114" s="63"/>
      <c r="M114" s="54"/>
      <c r="N114" s="63"/>
      <c r="O114" s="54"/>
      <c r="P114" s="63"/>
      <c r="Q114" s="54"/>
      <c r="R114" s="63"/>
      <c r="S114" s="61"/>
      <c r="T114" s="56"/>
    </row>
    <row r="115" spans="1:20" ht="15.75" customHeight="1">
      <c r="A115" s="22" t="s">
        <v>409</v>
      </c>
      <c r="B115" s="20" t="s">
        <v>410</v>
      </c>
      <c r="C115" s="22" t="s">
        <v>413</v>
      </c>
      <c r="D115" s="52" t="s">
        <v>1237</v>
      </c>
      <c r="E115" s="54"/>
      <c r="F115" s="63"/>
      <c r="G115" s="54"/>
      <c r="H115" s="55"/>
      <c r="I115" s="55"/>
      <c r="J115" s="55"/>
      <c r="K115" s="55"/>
      <c r="L115" s="63"/>
      <c r="M115" s="54"/>
      <c r="N115" s="63"/>
      <c r="O115" s="54"/>
      <c r="P115" s="63"/>
      <c r="Q115" s="54"/>
      <c r="R115" s="63"/>
      <c r="S115" s="61"/>
      <c r="T115" s="56"/>
    </row>
    <row r="116" spans="1:20" ht="15.75" customHeight="1">
      <c r="A116" s="22" t="s">
        <v>409</v>
      </c>
      <c r="B116" s="20" t="s">
        <v>410</v>
      </c>
      <c r="C116" s="22" t="s">
        <v>414</v>
      </c>
      <c r="D116" s="52" t="s">
        <v>1238</v>
      </c>
      <c r="E116" s="54"/>
      <c r="F116" s="63"/>
      <c r="G116" s="54"/>
      <c r="H116" s="55"/>
      <c r="I116" s="55"/>
      <c r="J116" s="55"/>
      <c r="K116" s="55"/>
      <c r="L116" s="63"/>
      <c r="M116" s="54"/>
      <c r="N116" s="63"/>
      <c r="O116" s="54"/>
      <c r="P116" s="63"/>
      <c r="Q116" s="54"/>
      <c r="R116" s="63"/>
      <c r="S116" s="61"/>
      <c r="T116" s="56"/>
    </row>
    <row r="117" spans="1:20" ht="15.75" customHeight="1">
      <c r="A117" s="22" t="s">
        <v>416</v>
      </c>
      <c r="B117" s="20" t="s">
        <v>424</v>
      </c>
      <c r="C117" s="22" t="s">
        <v>425</v>
      </c>
      <c r="D117" s="52" t="s">
        <v>1239</v>
      </c>
      <c r="E117" s="54"/>
      <c r="F117" s="63"/>
      <c r="G117" s="54"/>
      <c r="H117" s="55"/>
      <c r="I117" s="55"/>
      <c r="J117" s="55"/>
      <c r="K117" s="55"/>
      <c r="L117" s="63"/>
      <c r="M117" s="54"/>
      <c r="N117" s="63"/>
      <c r="O117" s="54"/>
      <c r="P117" s="63"/>
      <c r="Q117" s="54"/>
      <c r="R117" s="63"/>
      <c r="S117" s="61"/>
      <c r="T117" s="56"/>
    </row>
    <row r="118" spans="1:20" ht="15.75" customHeight="1">
      <c r="A118" s="22" t="s">
        <v>416</v>
      </c>
      <c r="B118" s="20" t="s">
        <v>424</v>
      </c>
      <c r="C118" s="22" t="s">
        <v>426</v>
      </c>
      <c r="D118" s="52" t="s">
        <v>1240</v>
      </c>
      <c r="E118" s="54"/>
      <c r="F118" s="63"/>
      <c r="G118" s="54"/>
      <c r="H118" s="55"/>
      <c r="I118" s="55"/>
      <c r="J118" s="55"/>
      <c r="K118" s="55"/>
      <c r="L118" s="63"/>
      <c r="M118" s="54"/>
      <c r="N118" s="63"/>
      <c r="O118" s="54"/>
      <c r="P118" s="63"/>
      <c r="Q118" s="54"/>
      <c r="R118" s="63"/>
      <c r="S118" s="61"/>
      <c r="T118" s="56"/>
    </row>
    <row r="119" spans="1:20" ht="15.75" customHeight="1">
      <c r="A119" s="22" t="s">
        <v>416</v>
      </c>
      <c r="B119" s="20" t="s">
        <v>424</v>
      </c>
      <c r="C119" s="22" t="s">
        <v>427</v>
      </c>
      <c r="D119" s="52" t="s">
        <v>1241</v>
      </c>
      <c r="E119" s="54"/>
      <c r="F119" s="63"/>
      <c r="G119" s="54"/>
      <c r="H119" s="55"/>
      <c r="I119" s="55"/>
      <c r="J119" s="55"/>
      <c r="K119" s="55"/>
      <c r="L119" s="63"/>
      <c r="M119" s="54"/>
      <c r="N119" s="63"/>
      <c r="O119" s="54"/>
      <c r="P119" s="63"/>
      <c r="Q119" s="54"/>
      <c r="R119" s="63"/>
      <c r="S119" s="61"/>
      <c r="T119" s="56"/>
    </row>
    <row r="120" spans="1:20" s="147" customFormat="1" ht="15.75" customHeight="1" thickBot="1">
      <c r="A120" s="148" t="s">
        <v>416</v>
      </c>
      <c r="B120" s="149" t="s">
        <v>415</v>
      </c>
      <c r="C120" s="148" t="s">
        <v>415</v>
      </c>
      <c r="D120" s="150" t="s">
        <v>1242</v>
      </c>
      <c r="E120" s="140"/>
      <c r="F120" s="141"/>
      <c r="G120" s="140"/>
      <c r="H120" s="142"/>
      <c r="I120" s="142"/>
      <c r="J120" s="142"/>
      <c r="K120" s="142"/>
      <c r="L120" s="141"/>
      <c r="M120" s="140"/>
      <c r="N120" s="141"/>
      <c r="O120" s="140"/>
      <c r="P120" s="141"/>
      <c r="Q120" s="140"/>
      <c r="R120" s="141"/>
      <c r="S120" s="151"/>
      <c r="T120" s="146"/>
    </row>
    <row r="121" spans="1:20" ht="52.5" customHeight="1" thickBot="1">
      <c r="A121" s="320" t="s">
        <v>20</v>
      </c>
      <c r="B121" s="321"/>
      <c r="C121" s="321"/>
      <c r="D121" s="322"/>
      <c r="E121" s="62">
        <f t="shared" ref="E121:T121" si="1">SUM(E8:E120)</f>
        <v>0</v>
      </c>
      <c r="F121" s="58">
        <f t="shared" si="1"/>
        <v>0</v>
      </c>
      <c r="G121" s="62">
        <f t="shared" si="1"/>
        <v>0</v>
      </c>
      <c r="H121" s="57">
        <f t="shared" si="1"/>
        <v>0</v>
      </c>
      <c r="I121" s="57">
        <f t="shared" si="1"/>
        <v>0</v>
      </c>
      <c r="J121" s="57">
        <f t="shared" si="1"/>
        <v>0</v>
      </c>
      <c r="K121" s="57">
        <f t="shared" si="1"/>
        <v>0</v>
      </c>
      <c r="L121" s="58">
        <f t="shared" si="1"/>
        <v>0</v>
      </c>
      <c r="M121" s="62">
        <f t="shared" si="1"/>
        <v>0</v>
      </c>
      <c r="N121" s="58">
        <f t="shared" si="1"/>
        <v>0</v>
      </c>
      <c r="O121" s="62">
        <f t="shared" si="1"/>
        <v>0</v>
      </c>
      <c r="P121" s="58">
        <f t="shared" si="1"/>
        <v>0</v>
      </c>
      <c r="Q121" s="62">
        <f t="shared" si="1"/>
        <v>0</v>
      </c>
      <c r="R121" s="58">
        <f t="shared" si="1"/>
        <v>0</v>
      </c>
      <c r="S121" s="62">
        <f t="shared" si="1"/>
        <v>0</v>
      </c>
      <c r="T121" s="58">
        <f t="shared" si="1"/>
        <v>0</v>
      </c>
    </row>
  </sheetData>
  <autoFilter ref="A7:T121"/>
  <mergeCells count="19">
    <mergeCell ref="A121:D121"/>
    <mergeCell ref="S5:T6"/>
    <mergeCell ref="E6:F6"/>
    <mergeCell ref="G6:H6"/>
    <mergeCell ref="I6:J6"/>
    <mergeCell ref="K6:L6"/>
    <mergeCell ref="M6:N6"/>
    <mergeCell ref="O6:P6"/>
    <mergeCell ref="Q6:R6"/>
    <mergeCell ref="A5:C6"/>
    <mergeCell ref="D5:D7"/>
    <mergeCell ref="E5:F5"/>
    <mergeCell ref="G5:L5"/>
    <mergeCell ref="M5:R5"/>
    <mergeCell ref="A1:T1"/>
    <mergeCell ref="A2:T2"/>
    <mergeCell ref="A3:T3"/>
    <mergeCell ref="A4:D4"/>
    <mergeCell ref="P4:T4"/>
  </mergeCells>
  <printOptions horizontalCentered="1"/>
  <pageMargins left="0" right="0" top="0" bottom="0" header="0" footer="0"/>
  <pageSetup paperSize="9" scale="4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فرم شماره 1  </vt:lpstr>
      <vt:lpstr>روکش گروه و فصول منابع و مصارف </vt:lpstr>
      <vt:lpstr>هزینه ها</vt:lpstr>
      <vt:lpstr>درآمدها </vt:lpstr>
      <vt:lpstr>دارایی سرمایه ای</vt:lpstr>
      <vt:lpstr>دارایی مالی</vt:lpstr>
      <vt:lpstr>'دارایی سرمایه ای'!Print_Area</vt:lpstr>
      <vt:lpstr>'دارایی مالی'!Print_Area</vt:lpstr>
      <vt:lpstr>'روکش گروه و فصول منابع و مصارف '!Print_Area</vt:lpstr>
      <vt:lpstr>'فرم شماره 1  '!Print_Area</vt:lpstr>
      <vt:lpstr>'هزینه ها'!Print_Area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2020-12-29T07:00:45Z</cp:lastPrinted>
  <dcterms:created xsi:type="dcterms:W3CDTF">2022-09-21T17:51:55Z</dcterms:created>
  <dcterms:modified xsi:type="dcterms:W3CDTF">2022-09-21T17:51:56Z</dcterms:modified>
  <cp:category/>
</cp:coreProperties>
</file>